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F4D9A8FC-06F8-4739-BCA3-27A5FDD42891}" xr6:coauthVersionLast="36" xr6:coauthVersionMax="36" xr10:uidLastSave="{00000000-0000-0000-0000-000000000000}"/>
  <bookViews>
    <workbookView xWindow="1125" yWindow="435" windowWidth="20730" windowHeight="11460" tabRatio="931" activeTab="3" xr2:uid="{00000000-000D-0000-FFFF-FFFF00000000}"/>
  </bookViews>
  <sheets>
    <sheet name="info" sheetId="6" r:id="rId1"/>
    <sheet name="vstupy zadavatele" sheetId="2" r:id="rId2"/>
    <sheet name="nabidka dodavatele" sheetId="3" r:id="rId3"/>
    <sheet name="kalkulace" sheetId="1" r:id="rId4"/>
  </sheets>
  <externalReferences>
    <externalReference r:id="rId5"/>
    <externalReference r:id="rId6"/>
  </externalReferences>
  <definedNames>
    <definedName name="current">'[1]Spolecne vstupy'!$C$6</definedName>
    <definedName name="CZ_EN">[2]Slovník!$C$1</definedName>
    <definedName name="_xlnm.Print_Area" localSheetId="0">info!$A$1:$C$47</definedName>
    <definedName name="_xlnm.Print_Area" localSheetId="3">kalkulace!$B$17:$L$88</definedName>
    <definedName name="_xlnm.Print_Area" localSheetId="2">'nabidka dodavatele'!$A$1:$N$112</definedName>
    <definedName name="_xlnm.Print_Area" localSheetId="1">'vstupy zadavatele'!$A$1:$N$55</definedName>
    <definedName name="opm">'[1]Spolecne vstupy'!$C$15</definedName>
    <definedName name="Slovnik">[2]Slovník!$C$4:$D$460</definedName>
    <definedName name="VAT">[1]Souhrn!$H$17</definedName>
    <definedName name="VR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6" i="1" l="1"/>
  <c r="Y46" i="1"/>
  <c r="AB20" i="1" l="1"/>
  <c r="Z20" i="1"/>
  <c r="AA21" i="1"/>
  <c r="Y21" i="1"/>
  <c r="AA19" i="1"/>
  <c r="Y19" i="1"/>
  <c r="J46" i="1"/>
  <c r="G46" i="1"/>
  <c r="Q21" i="1"/>
  <c r="O21" i="1"/>
  <c r="Q19" i="1"/>
  <c r="O19" i="1"/>
  <c r="R31" i="1"/>
  <c r="Q31" i="1"/>
  <c r="E11" i="2" l="1"/>
  <c r="F11" i="2" s="1"/>
  <c r="G11" i="2" s="1"/>
  <c r="H11" i="2" s="1"/>
  <c r="I11" i="2" s="1"/>
  <c r="J11" i="2" s="1"/>
  <c r="K11" i="2" s="1"/>
  <c r="L11" i="2" s="1"/>
  <c r="M11" i="2" s="1"/>
  <c r="P30" i="1" l="1"/>
  <c r="G42" i="1" s="1"/>
  <c r="D23" i="1"/>
  <c r="AB54" i="1"/>
  <c r="AB53" i="1"/>
  <c r="AB49" i="1"/>
  <c r="AB43" i="1"/>
  <c r="AB40" i="1"/>
  <c r="Z49" i="1"/>
  <c r="Z43" i="1"/>
  <c r="Z40" i="1"/>
  <c r="K63" i="1"/>
  <c r="K61" i="1"/>
  <c r="K60" i="1"/>
  <c r="K59" i="1"/>
  <c r="K58" i="1"/>
  <c r="K57" i="1"/>
  <c r="K55" i="1"/>
  <c r="K54" i="1"/>
  <c r="K53" i="1"/>
  <c r="H63" i="1"/>
  <c r="H61" i="1"/>
  <c r="H60" i="1"/>
  <c r="H59" i="1"/>
  <c r="H58" i="1"/>
  <c r="H55" i="1"/>
  <c r="H54" i="1"/>
  <c r="H53" i="1"/>
  <c r="J48" i="1"/>
  <c r="AA48" i="1" s="1"/>
  <c r="G48" i="1"/>
  <c r="M52" i="3"/>
  <c r="L52" i="3"/>
  <c r="K52" i="3"/>
  <c r="J52" i="3"/>
  <c r="I52" i="3"/>
  <c r="H52" i="3"/>
  <c r="G52" i="3"/>
  <c r="F52" i="3"/>
  <c r="E52" i="3"/>
  <c r="M14" i="3"/>
  <c r="L14" i="3"/>
  <c r="K14" i="3"/>
  <c r="J14" i="3"/>
  <c r="I14" i="3"/>
  <c r="H14" i="3"/>
  <c r="G14" i="3"/>
  <c r="F14" i="3"/>
  <c r="E14" i="3"/>
  <c r="K49" i="1"/>
  <c r="H49" i="1"/>
  <c r="F48" i="1" l="1"/>
  <c r="Y48" i="1"/>
  <c r="I48" i="1"/>
  <c r="K48" i="1" s="1"/>
  <c r="K43" i="1"/>
  <c r="K40" i="1"/>
  <c r="H48" i="1"/>
  <c r="H40" i="1"/>
  <c r="H43" i="1"/>
  <c r="AB48" i="1" l="1"/>
  <c r="Z48" i="1"/>
  <c r="D39" i="2"/>
  <c r="D38" i="2"/>
  <c r="D15" i="2"/>
  <c r="D14" i="2"/>
  <c r="P35" i="2" l="1"/>
  <c r="P26" i="2"/>
  <c r="P50" i="2"/>
  <c r="O50" i="2"/>
  <c r="Q13" i="1"/>
  <c r="O13" i="1"/>
  <c r="R26" i="1"/>
  <c r="J34" i="1" s="1"/>
  <c r="P26" i="1"/>
  <c r="G34" i="1" s="1"/>
  <c r="O26" i="1"/>
  <c r="Q26" i="1" s="1"/>
  <c r="Q30" i="1"/>
  <c r="Q29" i="1"/>
  <c r="O29" i="1"/>
  <c r="Q25" i="1"/>
  <c r="O25" i="1"/>
  <c r="Q10" i="1"/>
  <c r="Q9" i="1"/>
  <c r="Q8" i="1"/>
  <c r="O8" i="1"/>
  <c r="AA10" i="1"/>
  <c r="AA9" i="1"/>
  <c r="AA8" i="1"/>
  <c r="Y8" i="1"/>
  <c r="AA13" i="1"/>
  <c r="Y13" i="1"/>
  <c r="G56" i="1" l="1"/>
  <c r="J56" i="1"/>
  <c r="I56" i="1" s="1"/>
  <c r="K56" i="1" l="1"/>
  <c r="AA34" i="1"/>
  <c r="H56" i="1"/>
  <c r="Y34" i="1"/>
  <c r="F77" i="1"/>
  <c r="AB61" i="1"/>
  <c r="AB63" i="1"/>
  <c r="Z63" i="1"/>
  <c r="Z61" i="1"/>
  <c r="AB60" i="1"/>
  <c r="Z60" i="1"/>
  <c r="AB59" i="1"/>
  <c r="Z59" i="1"/>
  <c r="AB58" i="1"/>
  <c r="Z58" i="1"/>
  <c r="AB55" i="1"/>
  <c r="Z55" i="1"/>
  <c r="Z54" i="1"/>
  <c r="Z53" i="1"/>
  <c r="Y56" i="1" l="1"/>
  <c r="AA57" i="1"/>
  <c r="AB57" i="1" s="1"/>
  <c r="G77" i="1"/>
  <c r="Z56" i="1" l="1"/>
  <c r="I68" i="1" l="1"/>
  <c r="AA68" i="1" s="1"/>
  <c r="F68" i="1"/>
  <c r="Y68" i="1" s="1"/>
  <c r="AA86" i="1"/>
  <c r="AA85" i="1"/>
  <c r="AA84" i="1"/>
  <c r="Z84" i="1"/>
  <c r="AB84" i="1" s="1"/>
  <c r="Y84" i="1"/>
  <c r="AB75" i="1"/>
  <c r="Z75" i="1"/>
  <c r="K75" i="1"/>
  <c r="H75" i="1"/>
  <c r="AA69" i="1"/>
  <c r="AA26" i="1"/>
  <c r="AA25" i="1"/>
  <c r="Y25" i="1"/>
  <c r="Y77" i="1" l="1"/>
  <c r="Z77" i="1" l="1"/>
  <c r="H77" i="1"/>
  <c r="E60" i="3" l="1"/>
  <c r="D9" i="2"/>
  <c r="A56" i="3"/>
  <c r="G73" i="1"/>
  <c r="D21" i="2"/>
  <c r="C35" i="3"/>
  <c r="G50" i="1"/>
  <c r="F50" i="1" s="1"/>
  <c r="C33" i="3"/>
  <c r="C32" i="3"/>
  <c r="G45" i="1"/>
  <c r="F45" i="1" s="1"/>
  <c r="G38" i="1"/>
  <c r="F38" i="1" s="1"/>
  <c r="C28" i="3"/>
  <c r="D75" i="3"/>
  <c r="E44" i="2"/>
  <c r="F44" i="2"/>
  <c r="A43" i="2"/>
  <c r="E30" i="2"/>
  <c r="F30" i="2" s="1"/>
  <c r="G30" i="2" s="1"/>
  <c r="H30" i="2" s="1"/>
  <c r="I30" i="2" s="1"/>
  <c r="J30" i="2" s="1"/>
  <c r="K30" i="2" s="1"/>
  <c r="L30" i="2" s="1"/>
  <c r="M30" i="2" s="1"/>
  <c r="A51" i="2"/>
  <c r="A50" i="2"/>
  <c r="A49" i="2"/>
  <c r="A46" i="2"/>
  <c r="A45" i="2"/>
  <c r="A44" i="2"/>
  <c r="A41" i="2"/>
  <c r="A40" i="2"/>
  <c r="A39" i="2"/>
  <c r="A38" i="2"/>
  <c r="O35" i="2"/>
  <c r="M22" i="3"/>
  <c r="L22" i="3"/>
  <c r="K22" i="3"/>
  <c r="J22" i="3"/>
  <c r="I22" i="3"/>
  <c r="H22" i="3"/>
  <c r="G22" i="3"/>
  <c r="F22" i="3"/>
  <c r="E22" i="3"/>
  <c r="D22" i="3"/>
  <c r="E63" i="3"/>
  <c r="E56" i="3"/>
  <c r="E43" i="3"/>
  <c r="E25" i="3"/>
  <c r="E18" i="3"/>
  <c r="D63" i="3"/>
  <c r="C63" i="3"/>
  <c r="D37" i="3"/>
  <c r="C37" i="3"/>
  <c r="C22" i="3"/>
  <c r="C60" i="3" s="1"/>
  <c r="D56" i="3"/>
  <c r="C56" i="3"/>
  <c r="D43" i="3"/>
  <c r="C43" i="3"/>
  <c r="B25" i="3"/>
  <c r="D25" i="3"/>
  <c r="C25" i="3"/>
  <c r="D18" i="3"/>
  <c r="C18" i="3"/>
  <c r="E22" i="2"/>
  <c r="E77" i="3" s="1"/>
  <c r="F22" i="2"/>
  <c r="F77" i="3" s="1"/>
  <c r="D77" i="3"/>
  <c r="J51" i="1"/>
  <c r="I51" i="1" s="1"/>
  <c r="J73" i="1"/>
  <c r="J45" i="1"/>
  <c r="I45" i="1" s="1"/>
  <c r="J50" i="1"/>
  <c r="I50" i="1" s="1"/>
  <c r="J35" i="1"/>
  <c r="I35" i="1" s="1"/>
  <c r="J38" i="1"/>
  <c r="I38" i="1" s="1"/>
  <c r="J41" i="1"/>
  <c r="I41" i="1" s="1"/>
  <c r="I46" i="1"/>
  <c r="J32" i="1"/>
  <c r="I32" i="1" s="1"/>
  <c r="J37" i="1"/>
  <c r="I37" i="1" s="1"/>
  <c r="R30" i="1"/>
  <c r="G22" i="2"/>
  <c r="H22" i="2" s="1"/>
  <c r="G44" i="2"/>
  <c r="H44" i="2"/>
  <c r="I44" i="2" s="1"/>
  <c r="J44" i="2" s="1"/>
  <c r="K44" i="2" s="1"/>
  <c r="L44" i="2" s="1"/>
  <c r="M44" i="2" s="1"/>
  <c r="E9" i="2"/>
  <c r="E33" i="2" s="1"/>
  <c r="D33" i="2"/>
  <c r="D3" i="3"/>
  <c r="D71" i="3" s="1"/>
  <c r="G77" i="3"/>
  <c r="F9" i="2"/>
  <c r="F3" i="3" s="1"/>
  <c r="F71" i="3" s="1"/>
  <c r="F33" i="2"/>
  <c r="G9" i="2"/>
  <c r="H9" i="2" s="1"/>
  <c r="G33" i="2"/>
  <c r="G3" i="3" l="1"/>
  <c r="G101" i="3" s="1"/>
  <c r="J42" i="1"/>
  <c r="I42" i="1" s="1"/>
  <c r="I9" i="2"/>
  <c r="H33" i="2"/>
  <c r="H3" i="3"/>
  <c r="E3" i="3"/>
  <c r="AA45" i="1"/>
  <c r="J47" i="1"/>
  <c r="I47" i="1" s="1"/>
  <c r="L51" i="3"/>
  <c r="H51" i="3"/>
  <c r="J51" i="3"/>
  <c r="K51" i="3"/>
  <c r="G51" i="3"/>
  <c r="F51" i="3"/>
  <c r="M51" i="3"/>
  <c r="I51" i="3"/>
  <c r="Z45" i="1"/>
  <c r="H45" i="1"/>
  <c r="G32" i="1"/>
  <c r="L11" i="3"/>
  <c r="H11" i="3"/>
  <c r="K11" i="3"/>
  <c r="J11" i="3"/>
  <c r="F11" i="3"/>
  <c r="M11" i="3"/>
  <c r="I11" i="3"/>
  <c r="G11" i="3"/>
  <c r="E107" i="3"/>
  <c r="E71" i="3"/>
  <c r="J39" i="1"/>
  <c r="G37" i="1"/>
  <c r="Y73" i="1"/>
  <c r="Z73" i="1" s="1"/>
  <c r="H77" i="3"/>
  <c r="I22" i="2"/>
  <c r="P15" i="1"/>
  <c r="E26" i="2"/>
  <c r="F26" i="2" s="1"/>
  <c r="G26" i="2" s="1"/>
  <c r="E15" i="2"/>
  <c r="F15" i="2" s="1"/>
  <c r="G15" i="2" s="1"/>
  <c r="H15" i="2" s="1"/>
  <c r="I15" i="2" s="1"/>
  <c r="J15" i="2" s="1"/>
  <c r="K15" i="2" s="1"/>
  <c r="L15" i="2" s="1"/>
  <c r="M15" i="2" s="1"/>
  <c r="H41" i="3"/>
  <c r="G41" i="3"/>
  <c r="G71" i="3"/>
  <c r="D41" i="3"/>
  <c r="C29" i="3"/>
  <c r="G29" i="3" s="1"/>
  <c r="G107" i="3"/>
  <c r="F107" i="3"/>
  <c r="E11" i="3"/>
  <c r="M47" i="3"/>
  <c r="I47" i="3"/>
  <c r="E47" i="3"/>
  <c r="L47" i="3"/>
  <c r="G47" i="3"/>
  <c r="K47" i="3"/>
  <c r="F47" i="3"/>
  <c r="J47" i="3"/>
  <c r="H47" i="3"/>
  <c r="L15" i="3"/>
  <c r="H15" i="3"/>
  <c r="I15" i="3"/>
  <c r="K15" i="3"/>
  <c r="F15" i="3"/>
  <c r="J15" i="3"/>
  <c r="G15" i="3"/>
  <c r="E15" i="3"/>
  <c r="M15" i="3"/>
  <c r="AA51" i="1"/>
  <c r="K54" i="3"/>
  <c r="G54" i="3"/>
  <c r="J54" i="3"/>
  <c r="M54" i="3"/>
  <c r="F54" i="3"/>
  <c r="L54" i="3"/>
  <c r="E54" i="3"/>
  <c r="I54" i="3"/>
  <c r="H54" i="3"/>
  <c r="M35" i="3"/>
  <c r="I35" i="3"/>
  <c r="E35" i="3"/>
  <c r="K35" i="3"/>
  <c r="F35" i="3"/>
  <c r="J35" i="3"/>
  <c r="H35" i="3"/>
  <c r="L35" i="3"/>
  <c r="G35" i="3"/>
  <c r="L44" i="3"/>
  <c r="H44" i="3"/>
  <c r="M44" i="3"/>
  <c r="G44" i="3"/>
  <c r="K44" i="3"/>
  <c r="F44" i="3"/>
  <c r="J44" i="3"/>
  <c r="E44" i="3"/>
  <c r="I44" i="3"/>
  <c r="K33" i="3"/>
  <c r="G33" i="3"/>
  <c r="M33" i="3"/>
  <c r="H33" i="3"/>
  <c r="L33" i="3"/>
  <c r="F33" i="3"/>
  <c r="J33" i="3"/>
  <c r="E33" i="3"/>
  <c r="I33" i="3"/>
  <c r="K6" i="3"/>
  <c r="G6" i="3"/>
  <c r="J6" i="3"/>
  <c r="E6" i="3"/>
  <c r="M6" i="3"/>
  <c r="H6" i="3"/>
  <c r="F6" i="3"/>
  <c r="L6" i="3"/>
  <c r="I6" i="3"/>
  <c r="F101" i="3"/>
  <c r="D107" i="3"/>
  <c r="AA41" i="1"/>
  <c r="AA39" i="1" s="1"/>
  <c r="L48" i="3"/>
  <c r="H48" i="3"/>
  <c r="I48" i="3"/>
  <c r="M48" i="3"/>
  <c r="G48" i="3"/>
  <c r="K48" i="3"/>
  <c r="F48" i="3"/>
  <c r="J48" i="3"/>
  <c r="E48" i="3"/>
  <c r="E51" i="3"/>
  <c r="K45" i="3"/>
  <c r="G45" i="3"/>
  <c r="I45" i="3"/>
  <c r="M45" i="3"/>
  <c r="H45" i="3"/>
  <c r="L45" i="3"/>
  <c r="F45" i="3"/>
  <c r="J45" i="3"/>
  <c r="E45" i="3"/>
  <c r="I8" i="3"/>
  <c r="F41" i="3"/>
  <c r="D101" i="3"/>
  <c r="J50" i="3"/>
  <c r="F50" i="3"/>
  <c r="L50" i="3"/>
  <c r="G50" i="3"/>
  <c r="K50" i="3"/>
  <c r="E50" i="3"/>
  <c r="I50" i="3"/>
  <c r="M50" i="3"/>
  <c r="H50" i="3"/>
  <c r="L53" i="3"/>
  <c r="H53" i="3"/>
  <c r="J53" i="3"/>
  <c r="E53" i="3"/>
  <c r="I53" i="3"/>
  <c r="M53" i="3"/>
  <c r="G53" i="3"/>
  <c r="K53" i="3"/>
  <c r="F53" i="3"/>
  <c r="C31" i="3"/>
  <c r="L28" i="3"/>
  <c r="H28" i="3"/>
  <c r="J28" i="3"/>
  <c r="E28" i="3"/>
  <c r="M28" i="3"/>
  <c r="G28" i="3"/>
  <c r="K28" i="3"/>
  <c r="F28" i="3"/>
  <c r="I28" i="3"/>
  <c r="L32" i="3"/>
  <c r="H32" i="3"/>
  <c r="K32" i="3"/>
  <c r="F32" i="3"/>
  <c r="J32" i="3"/>
  <c r="E32" i="3"/>
  <c r="I32" i="3"/>
  <c r="M32" i="3"/>
  <c r="G32" i="3"/>
  <c r="J36" i="1"/>
  <c r="J46" i="3"/>
  <c r="F46" i="3"/>
  <c r="K46" i="3"/>
  <c r="E46" i="3"/>
  <c r="I46" i="3"/>
  <c r="M46" i="3"/>
  <c r="H46" i="3"/>
  <c r="L46" i="3"/>
  <c r="G46" i="3"/>
  <c r="K49" i="3"/>
  <c r="G49" i="3"/>
  <c r="J49" i="3"/>
  <c r="E49" i="3"/>
  <c r="I49" i="3"/>
  <c r="M49" i="3"/>
  <c r="H49" i="3"/>
  <c r="L49" i="3"/>
  <c r="F49" i="3"/>
  <c r="C26" i="3"/>
  <c r="Y38" i="1"/>
  <c r="M9" i="3"/>
  <c r="I9" i="3"/>
  <c r="E9" i="3"/>
  <c r="K9" i="3"/>
  <c r="F9" i="3"/>
  <c r="H9" i="3"/>
  <c r="L9" i="3"/>
  <c r="J9" i="3"/>
  <c r="G9" i="3"/>
  <c r="AA38" i="1"/>
  <c r="K38" i="1"/>
  <c r="J64" i="3"/>
  <c r="G64" i="3"/>
  <c r="I64" i="3"/>
  <c r="M64" i="3"/>
  <c r="D85" i="3"/>
  <c r="Z15" i="1"/>
  <c r="E35" i="2"/>
  <c r="F35" i="2" s="1"/>
  <c r="G51" i="1"/>
  <c r="F51" i="1" s="1"/>
  <c r="C34" i="3"/>
  <c r="E20" i="2"/>
  <c r="F20" i="2" s="1"/>
  <c r="G57" i="1"/>
  <c r="K32" i="1"/>
  <c r="AA32" i="1"/>
  <c r="AA50" i="1"/>
  <c r="Y50" i="1"/>
  <c r="Z50" i="1" s="1"/>
  <c r="AA37" i="1"/>
  <c r="D50" i="2"/>
  <c r="R15" i="1" s="1"/>
  <c r="I38" i="3"/>
  <c r="M38" i="3"/>
  <c r="H38" i="3"/>
  <c r="G38" i="3"/>
  <c r="L38" i="3"/>
  <c r="J38" i="3"/>
  <c r="E38" i="3"/>
  <c r="F38" i="3"/>
  <c r="K38" i="3"/>
  <c r="G35" i="1"/>
  <c r="F35" i="1" s="1"/>
  <c r="C27" i="3"/>
  <c r="L64" i="3"/>
  <c r="F64" i="3"/>
  <c r="H64" i="3"/>
  <c r="E64" i="3"/>
  <c r="K64" i="3"/>
  <c r="E14" i="2"/>
  <c r="C30" i="3"/>
  <c r="G41" i="1"/>
  <c r="F41" i="1" s="1"/>
  <c r="AB86" i="1" l="1"/>
  <c r="K42" i="1"/>
  <c r="AB42" i="1"/>
  <c r="AA47" i="1"/>
  <c r="E101" i="3"/>
  <c r="E41" i="3"/>
  <c r="H107" i="3"/>
  <c r="H101" i="3"/>
  <c r="H71" i="3"/>
  <c r="F57" i="1"/>
  <c r="H57" i="1" s="1"/>
  <c r="J9" i="2"/>
  <c r="I3" i="3"/>
  <c r="I33" i="2"/>
  <c r="Y37" i="1"/>
  <c r="Y36" i="1" s="1"/>
  <c r="F37" i="1"/>
  <c r="Y32" i="1"/>
  <c r="F32" i="1"/>
  <c r="H32" i="1" s="1"/>
  <c r="J44" i="1"/>
  <c r="K47" i="1"/>
  <c r="AB47" i="1"/>
  <c r="K50" i="1"/>
  <c r="AB50" i="1"/>
  <c r="AB45" i="1"/>
  <c r="K45" i="1"/>
  <c r="I44" i="1"/>
  <c r="K12" i="3"/>
  <c r="G12" i="3"/>
  <c r="J12" i="3"/>
  <c r="M12" i="3"/>
  <c r="I12" i="3"/>
  <c r="E12" i="3"/>
  <c r="L12" i="3"/>
  <c r="H12" i="3"/>
  <c r="F12" i="3"/>
  <c r="J13" i="3"/>
  <c r="F13" i="3"/>
  <c r="M13" i="3"/>
  <c r="I13" i="3"/>
  <c r="E13" i="3"/>
  <c r="L13" i="3"/>
  <c r="H13" i="3"/>
  <c r="K13" i="3"/>
  <c r="G13" i="3"/>
  <c r="H8" i="3"/>
  <c r="K29" i="3"/>
  <c r="E85" i="3"/>
  <c r="K46" i="1"/>
  <c r="F42" i="1"/>
  <c r="J29" i="3"/>
  <c r="H73" i="1"/>
  <c r="K8" i="3"/>
  <c r="F8" i="3"/>
  <c r="M8" i="3"/>
  <c r="G8" i="3"/>
  <c r="J8" i="3"/>
  <c r="E8" i="3"/>
  <c r="L8" i="3"/>
  <c r="H29" i="3"/>
  <c r="F46" i="1"/>
  <c r="G47" i="1"/>
  <c r="I77" i="3"/>
  <c r="J22" i="2"/>
  <c r="D17" i="2"/>
  <c r="O14" i="2" s="1"/>
  <c r="K37" i="1"/>
  <c r="AA44" i="1"/>
  <c r="Z14" i="1"/>
  <c r="P14" i="1"/>
  <c r="H26" i="2"/>
  <c r="M29" i="3"/>
  <c r="F29" i="3"/>
  <c r="I29" i="3"/>
  <c r="L29" i="3"/>
  <c r="AA35" i="1"/>
  <c r="AB35" i="1" s="1"/>
  <c r="E29" i="3"/>
  <c r="J34" i="3"/>
  <c r="F34" i="3"/>
  <c r="I34" i="3"/>
  <c r="M34" i="3"/>
  <c r="H34" i="3"/>
  <c r="L34" i="3"/>
  <c r="G34" i="3"/>
  <c r="K34" i="3"/>
  <c r="E34" i="3"/>
  <c r="M27" i="3"/>
  <c r="I27" i="3"/>
  <c r="E27" i="3"/>
  <c r="H27" i="3"/>
  <c r="K27" i="3"/>
  <c r="F27" i="3"/>
  <c r="J27" i="3"/>
  <c r="L27" i="3"/>
  <c r="G27" i="3"/>
  <c r="AB41" i="1"/>
  <c r="K16" i="3"/>
  <c r="G16" i="3"/>
  <c r="J16" i="3"/>
  <c r="E16" i="3"/>
  <c r="M16" i="3"/>
  <c r="H16" i="3"/>
  <c r="L16" i="3"/>
  <c r="I16" i="3"/>
  <c r="F16" i="3"/>
  <c r="J30" i="3"/>
  <c r="F30" i="3"/>
  <c r="M30" i="3"/>
  <c r="H30" i="3"/>
  <c r="L30" i="3"/>
  <c r="G30" i="3"/>
  <c r="K30" i="3"/>
  <c r="E30" i="3"/>
  <c r="I30" i="3"/>
  <c r="Y35" i="1"/>
  <c r="K7" i="3"/>
  <c r="G7" i="3"/>
  <c r="M7" i="3"/>
  <c r="H7" i="3"/>
  <c r="J7" i="3"/>
  <c r="I7" i="3"/>
  <c r="F7" i="3"/>
  <c r="E7" i="3"/>
  <c r="L7" i="3"/>
  <c r="J26" i="3"/>
  <c r="F26" i="3"/>
  <c r="L26" i="3"/>
  <c r="G26" i="3"/>
  <c r="I26" i="3"/>
  <c r="M26" i="3"/>
  <c r="K26" i="3"/>
  <c r="E26" i="3"/>
  <c r="H26" i="3"/>
  <c r="M31" i="3"/>
  <c r="I31" i="3"/>
  <c r="E31" i="3"/>
  <c r="J31" i="3"/>
  <c r="H31" i="3"/>
  <c r="L31" i="3"/>
  <c r="G31" i="3"/>
  <c r="K31" i="3"/>
  <c r="F31" i="3"/>
  <c r="Y41" i="1"/>
  <c r="Y39" i="1" s="1"/>
  <c r="L10" i="3"/>
  <c r="H10" i="3"/>
  <c r="M10" i="3"/>
  <c r="G10" i="3"/>
  <c r="J10" i="3"/>
  <c r="E10" i="3"/>
  <c r="K10" i="3"/>
  <c r="F10" i="3"/>
  <c r="I10" i="3"/>
  <c r="G36" i="1"/>
  <c r="H38" i="1"/>
  <c r="AB32" i="1"/>
  <c r="AB38" i="1"/>
  <c r="H50" i="1"/>
  <c r="E21" i="2"/>
  <c r="K73" i="1"/>
  <c r="AA73" i="1"/>
  <c r="AB73" i="1" s="1"/>
  <c r="K35" i="1"/>
  <c r="AA36" i="1"/>
  <c r="F21" i="2"/>
  <c r="G20" i="2"/>
  <c r="E50" i="2"/>
  <c r="F50" i="2" s="1"/>
  <c r="G50" i="2" s="1"/>
  <c r="H50" i="2" s="1"/>
  <c r="I50" i="2" s="1"/>
  <c r="J50" i="2" s="1"/>
  <c r="K50" i="2" s="1"/>
  <c r="L50" i="2" s="1"/>
  <c r="M50" i="2" s="1"/>
  <c r="AB15" i="1"/>
  <c r="Y51" i="1"/>
  <c r="D45" i="2"/>
  <c r="D87" i="3"/>
  <c r="E46" i="2"/>
  <c r="E17" i="2"/>
  <c r="F14" i="2"/>
  <c r="E39" i="2"/>
  <c r="F39" i="2" s="1"/>
  <c r="G39" i="2" s="1"/>
  <c r="H39" i="2" s="1"/>
  <c r="I39" i="2" s="1"/>
  <c r="J39" i="2" s="1"/>
  <c r="K39" i="2" s="1"/>
  <c r="L39" i="2" s="1"/>
  <c r="M39" i="2" s="1"/>
  <c r="G35" i="2"/>
  <c r="F85" i="3"/>
  <c r="E75" i="3"/>
  <c r="K9" i="2" l="1"/>
  <c r="J3" i="3"/>
  <c r="J33" i="2"/>
  <c r="Y57" i="1"/>
  <c r="Z57" i="1" s="1"/>
  <c r="I71" i="3"/>
  <c r="I41" i="3"/>
  <c r="I107" i="3"/>
  <c r="I101" i="3"/>
  <c r="Y47" i="1"/>
  <c r="F47" i="1"/>
  <c r="Z32" i="1"/>
  <c r="AB46" i="1"/>
  <c r="K51" i="1"/>
  <c r="AB51" i="1"/>
  <c r="AB44" i="1"/>
  <c r="H42" i="1"/>
  <c r="Z42" i="1"/>
  <c r="G44" i="1"/>
  <c r="G39" i="1"/>
  <c r="Z37" i="1"/>
  <c r="H37" i="1"/>
  <c r="K44" i="1"/>
  <c r="K41" i="1"/>
  <c r="I39" i="1"/>
  <c r="K39" i="1" s="1"/>
  <c r="AB37" i="1"/>
  <c r="J77" i="3"/>
  <c r="K22" i="2"/>
  <c r="Z38" i="1"/>
  <c r="F36" i="1"/>
  <c r="H36" i="1" s="1"/>
  <c r="I36" i="1"/>
  <c r="K36" i="1" s="1"/>
  <c r="O15" i="2"/>
  <c r="D74" i="3" s="1"/>
  <c r="O16" i="2"/>
  <c r="O40" i="2"/>
  <c r="I26" i="2"/>
  <c r="Y44" i="1"/>
  <c r="H35" i="1"/>
  <c r="Z41" i="1"/>
  <c r="H20" i="2"/>
  <c r="G21" i="2"/>
  <c r="J77" i="1"/>
  <c r="H35" i="2"/>
  <c r="G85" i="3"/>
  <c r="F17" i="2"/>
  <c r="G14" i="2"/>
  <c r="E45" i="2"/>
  <c r="F46" i="2"/>
  <c r="E87" i="3"/>
  <c r="F75" i="3"/>
  <c r="Z47" i="1" l="1"/>
  <c r="H47" i="1"/>
  <c r="J71" i="3"/>
  <c r="J41" i="3"/>
  <c r="J101" i="3"/>
  <c r="J107" i="3"/>
  <c r="K33" i="2"/>
  <c r="L9" i="2"/>
  <c r="K3" i="3"/>
  <c r="H51" i="1"/>
  <c r="Z51" i="1"/>
  <c r="F44" i="1"/>
  <c r="Z44" i="1" s="1"/>
  <c r="Z46" i="1"/>
  <c r="F39" i="1"/>
  <c r="H41" i="1"/>
  <c r="H46" i="1"/>
  <c r="K77" i="3"/>
  <c r="L22" i="2"/>
  <c r="AB36" i="1"/>
  <c r="Z36" i="1"/>
  <c r="Z9" i="1"/>
  <c r="P9" i="1"/>
  <c r="G29" i="1" s="1"/>
  <c r="F29" i="1" s="1"/>
  <c r="D78" i="3"/>
  <c r="P16" i="1"/>
  <c r="G31" i="1" s="1"/>
  <c r="F31" i="1" s="1"/>
  <c r="Z16" i="1"/>
  <c r="E27" i="2"/>
  <c r="F27" i="2" s="1"/>
  <c r="G27" i="2" s="1"/>
  <c r="H27" i="2" s="1"/>
  <c r="I27" i="2" s="1"/>
  <c r="J27" i="2" s="1"/>
  <c r="K27" i="2" s="1"/>
  <c r="L27" i="2" s="1"/>
  <c r="M27" i="2" s="1"/>
  <c r="P10" i="1"/>
  <c r="G30" i="1" s="1"/>
  <c r="F30" i="1" s="1"/>
  <c r="Z10" i="1"/>
  <c r="D41" i="2"/>
  <c r="C20" i="3"/>
  <c r="J26" i="2"/>
  <c r="Z35" i="1"/>
  <c r="H21" i="2"/>
  <c r="I20" i="2"/>
  <c r="I77" i="1"/>
  <c r="AA56" i="1"/>
  <c r="AA77" i="1" s="1"/>
  <c r="G75" i="3"/>
  <c r="H85" i="3"/>
  <c r="I35" i="2"/>
  <c r="H14" i="2"/>
  <c r="G17" i="2"/>
  <c r="G46" i="2"/>
  <c r="F45" i="2"/>
  <c r="F87" i="3"/>
  <c r="H44" i="1" l="1"/>
  <c r="K41" i="3"/>
  <c r="K107" i="3"/>
  <c r="K71" i="3"/>
  <c r="K101" i="3"/>
  <c r="L3" i="3"/>
  <c r="L33" i="2"/>
  <c r="M9" i="2"/>
  <c r="H39" i="1"/>
  <c r="Z39" i="1"/>
  <c r="F34" i="1"/>
  <c r="Y33" i="1"/>
  <c r="H78" i="3"/>
  <c r="J78" i="3"/>
  <c r="L77" i="3"/>
  <c r="M22" i="2"/>
  <c r="M77" i="3" s="1"/>
  <c r="H31" i="1"/>
  <c r="O39" i="2"/>
  <c r="F19" i="3"/>
  <c r="I19" i="3"/>
  <c r="D20" i="3"/>
  <c r="D73" i="3" s="1"/>
  <c r="L19" i="3"/>
  <c r="E19" i="3"/>
  <c r="G19" i="3"/>
  <c r="H19" i="3"/>
  <c r="J19" i="3"/>
  <c r="M19" i="3"/>
  <c r="K19" i="3"/>
  <c r="Y30" i="1"/>
  <c r="Y62" i="1"/>
  <c r="E23" i="3"/>
  <c r="E74" i="3" s="1"/>
  <c r="Y29" i="1"/>
  <c r="G62" i="1"/>
  <c r="I78" i="3"/>
  <c r="G78" i="3"/>
  <c r="E78" i="3"/>
  <c r="Y31" i="1"/>
  <c r="F78" i="3"/>
  <c r="K26" i="2"/>
  <c r="K78" i="3" s="1"/>
  <c r="AB56" i="1"/>
  <c r="I21" i="2"/>
  <c r="J20" i="2"/>
  <c r="K77" i="1"/>
  <c r="AB77" i="1"/>
  <c r="I85" i="3"/>
  <c r="J35" i="2"/>
  <c r="H17" i="2"/>
  <c r="I14" i="2"/>
  <c r="H75" i="3"/>
  <c r="G87" i="3"/>
  <c r="G45" i="2"/>
  <c r="H46" i="2"/>
  <c r="M33" i="2" l="1"/>
  <c r="M3" i="3"/>
  <c r="L101" i="3"/>
  <c r="L41" i="3"/>
  <c r="L71" i="3"/>
  <c r="L107" i="3"/>
  <c r="F62" i="1"/>
  <c r="H62" i="1" s="1"/>
  <c r="Z31" i="1"/>
  <c r="G33" i="1"/>
  <c r="R16" i="1"/>
  <c r="E51" i="2"/>
  <c r="F51" i="2" s="1"/>
  <c r="G51" i="2" s="1"/>
  <c r="H51" i="2" s="1"/>
  <c r="I51" i="2" s="1"/>
  <c r="J51" i="2" s="1"/>
  <c r="K51" i="2" s="1"/>
  <c r="L51" i="2" s="1"/>
  <c r="M51" i="2" s="1"/>
  <c r="AB16" i="1"/>
  <c r="AA31" i="1" s="1"/>
  <c r="AB10" i="1"/>
  <c r="AA30" i="1" s="1"/>
  <c r="R10" i="1"/>
  <c r="J30" i="1" s="1"/>
  <c r="I30" i="1" s="1"/>
  <c r="G28" i="1"/>
  <c r="F23" i="3"/>
  <c r="J62" i="1"/>
  <c r="I62" i="1" s="1"/>
  <c r="E61" i="3"/>
  <c r="F61" i="3" s="1"/>
  <c r="G61" i="3" s="1"/>
  <c r="H61" i="3" s="1"/>
  <c r="I61" i="3" s="1"/>
  <c r="J61" i="3" s="1"/>
  <c r="K61" i="3" s="1"/>
  <c r="L61" i="3" s="1"/>
  <c r="M61" i="3" s="1"/>
  <c r="Z30" i="1"/>
  <c r="H30" i="1"/>
  <c r="O38" i="2"/>
  <c r="E38" i="2"/>
  <c r="Y28" i="1"/>
  <c r="Y52" i="1" s="1"/>
  <c r="Y71" i="1" s="1"/>
  <c r="I20" i="3"/>
  <c r="L20" i="3"/>
  <c r="E20" i="3"/>
  <c r="E73" i="3" s="1"/>
  <c r="E93" i="3" s="1"/>
  <c r="H20" i="3"/>
  <c r="K20" i="3"/>
  <c r="G20" i="3"/>
  <c r="M20" i="3"/>
  <c r="F20" i="3"/>
  <c r="F73" i="3" s="1"/>
  <c r="J20" i="3"/>
  <c r="C58" i="3"/>
  <c r="L26" i="2"/>
  <c r="L78" i="3" s="1"/>
  <c r="K20" i="2"/>
  <c r="J21" i="2"/>
  <c r="I17" i="2"/>
  <c r="J14" i="2"/>
  <c r="H45" i="2"/>
  <c r="H87" i="3"/>
  <c r="I46" i="2"/>
  <c r="K35" i="2"/>
  <c r="J85" i="3"/>
  <c r="I75" i="3"/>
  <c r="M107" i="3" l="1"/>
  <c r="M71" i="3"/>
  <c r="M41" i="3"/>
  <c r="M101" i="3"/>
  <c r="Z62" i="1"/>
  <c r="AA62" i="1"/>
  <c r="AB62" i="1" s="1"/>
  <c r="K62" i="1"/>
  <c r="G52" i="1"/>
  <c r="AA33" i="1"/>
  <c r="J31" i="1"/>
  <c r="K30" i="1"/>
  <c r="AB30" i="1"/>
  <c r="R14" i="1"/>
  <c r="E49" i="2"/>
  <c r="AB14" i="1"/>
  <c r="G23" i="3"/>
  <c r="F74" i="3"/>
  <c r="F76" i="3" s="1"/>
  <c r="F102" i="3" s="1"/>
  <c r="D76" i="3"/>
  <c r="D102" i="3" s="1"/>
  <c r="D108" i="3" s="1"/>
  <c r="D93" i="3"/>
  <c r="E41" i="2"/>
  <c r="F38" i="2"/>
  <c r="L57" i="3"/>
  <c r="K57" i="3"/>
  <c r="E57" i="3"/>
  <c r="H57" i="3"/>
  <c r="G57" i="3"/>
  <c r="F57" i="3"/>
  <c r="J57" i="3"/>
  <c r="D58" i="3"/>
  <c r="I57" i="3"/>
  <c r="M57" i="3"/>
  <c r="E76" i="3"/>
  <c r="E102" i="3" s="1"/>
  <c r="E108" i="3" s="1"/>
  <c r="AB9" i="1"/>
  <c r="D88" i="3"/>
  <c r="R9" i="1"/>
  <c r="D84" i="3"/>
  <c r="F93" i="3"/>
  <c r="H29" i="1"/>
  <c r="Z29" i="1"/>
  <c r="F28" i="1"/>
  <c r="H34" i="1"/>
  <c r="F33" i="1"/>
  <c r="Z34" i="1"/>
  <c r="M26" i="2"/>
  <c r="M78" i="3" s="1"/>
  <c r="L20" i="2"/>
  <c r="K21" i="2"/>
  <c r="J46" i="2"/>
  <c r="I45" i="2"/>
  <c r="I87" i="3"/>
  <c r="L35" i="2"/>
  <c r="K85" i="3"/>
  <c r="J75" i="3"/>
  <c r="K14" i="2"/>
  <c r="J17" i="2"/>
  <c r="G73" i="3"/>
  <c r="I31" i="1" l="1"/>
  <c r="AB31" i="1" s="1"/>
  <c r="J33" i="1"/>
  <c r="I34" i="1"/>
  <c r="I33" i="1" s="1"/>
  <c r="AB33" i="1" s="1"/>
  <c r="F52" i="1"/>
  <c r="H52" i="1" s="1"/>
  <c r="E84" i="3"/>
  <c r="AA29" i="1"/>
  <c r="AA28" i="1" s="1"/>
  <c r="AA52" i="1" s="1"/>
  <c r="J29" i="1"/>
  <c r="F108" i="3"/>
  <c r="H33" i="1"/>
  <c r="Z33" i="1"/>
  <c r="G38" i="2"/>
  <c r="F41" i="2"/>
  <c r="F49" i="2"/>
  <c r="E88" i="3"/>
  <c r="Z28" i="1"/>
  <c r="H28" i="1"/>
  <c r="G93" i="3"/>
  <c r="H58" i="3"/>
  <c r="H83" i="3" s="1"/>
  <c r="I58" i="3"/>
  <c r="J58" i="3"/>
  <c r="E58" i="3"/>
  <c r="E83" i="3" s="1"/>
  <c r="K58" i="3"/>
  <c r="F58" i="3"/>
  <c r="F83" i="3" s="1"/>
  <c r="L58" i="3"/>
  <c r="D83" i="3"/>
  <c r="D86" i="3" s="1"/>
  <c r="D103" i="3" s="1"/>
  <c r="D109" i="3" s="1"/>
  <c r="G58" i="3"/>
  <c r="G83" i="3" s="1"/>
  <c r="M58" i="3"/>
  <c r="H23" i="3"/>
  <c r="G74" i="3"/>
  <c r="G76" i="3" s="1"/>
  <c r="G102" i="3" s="1"/>
  <c r="G108" i="3" s="1"/>
  <c r="M20" i="2"/>
  <c r="M21" i="2" s="1"/>
  <c r="L21" i="2"/>
  <c r="K17" i="2"/>
  <c r="L14" i="2"/>
  <c r="K75" i="3"/>
  <c r="M35" i="2"/>
  <c r="M85" i="3" s="1"/>
  <c r="L85" i="3"/>
  <c r="K46" i="2"/>
  <c r="J87" i="3"/>
  <c r="J45" i="2"/>
  <c r="H73" i="3"/>
  <c r="H93" i="3" s="1"/>
  <c r="K31" i="1" l="1"/>
  <c r="J28" i="1"/>
  <c r="J52" i="1" s="1"/>
  <c r="J71" i="1" s="1"/>
  <c r="I29" i="1"/>
  <c r="I28" i="1" s="1"/>
  <c r="I52" i="1" s="1"/>
  <c r="AB52" i="1" s="1"/>
  <c r="AA71" i="1"/>
  <c r="F71" i="1"/>
  <c r="E86" i="3"/>
  <c r="E103" i="3" s="1"/>
  <c r="E109" i="3" s="1"/>
  <c r="F84" i="3"/>
  <c r="F86" i="3" s="1"/>
  <c r="F103" i="3" s="1"/>
  <c r="AB34" i="1"/>
  <c r="K33" i="1"/>
  <c r="D104" i="3"/>
  <c r="D110" i="3" s="1"/>
  <c r="K34" i="1"/>
  <c r="E94" i="3"/>
  <c r="H38" i="2"/>
  <c r="G41" i="2"/>
  <c r="I23" i="3"/>
  <c r="H74" i="3"/>
  <c r="H76" i="3" s="1"/>
  <c r="H102" i="3" s="1"/>
  <c r="H108" i="3" s="1"/>
  <c r="G49" i="2"/>
  <c r="F88" i="3"/>
  <c r="F94" i="3" s="1"/>
  <c r="D94" i="3"/>
  <c r="D97" i="3" s="1"/>
  <c r="Z85" i="1"/>
  <c r="L75" i="3"/>
  <c r="M75" i="3"/>
  <c r="K87" i="3"/>
  <c r="K45" i="2"/>
  <c r="L46" i="2"/>
  <c r="M14" i="2"/>
  <c r="M17" i="2" s="1"/>
  <c r="L17" i="2"/>
  <c r="I73" i="3"/>
  <c r="I93" i="3" s="1"/>
  <c r="I83" i="3"/>
  <c r="I71" i="1" l="1"/>
  <c r="K71" i="1" s="1"/>
  <c r="K52" i="1"/>
  <c r="E104" i="3"/>
  <c r="E110" i="3" s="1"/>
  <c r="K29" i="1"/>
  <c r="AB29" i="1"/>
  <c r="AB28" i="1"/>
  <c r="AB85" i="1" s="1"/>
  <c r="K28" i="1"/>
  <c r="F109" i="3"/>
  <c r="F104" i="3"/>
  <c r="F110" i="3" s="1"/>
  <c r="H49" i="2"/>
  <c r="G88" i="3"/>
  <c r="G94" i="3" s="1"/>
  <c r="G84" i="3"/>
  <c r="G86" i="3" s="1"/>
  <c r="G103" i="3" s="1"/>
  <c r="H41" i="2"/>
  <c r="I38" i="2"/>
  <c r="J23" i="3"/>
  <c r="I74" i="3"/>
  <c r="I76" i="3" s="1"/>
  <c r="I102" i="3" s="1"/>
  <c r="I108" i="3" s="1"/>
  <c r="L87" i="3"/>
  <c r="L45" i="2"/>
  <c r="M46" i="2"/>
  <c r="J73" i="3"/>
  <c r="J93" i="3" s="1"/>
  <c r="J83" i="3"/>
  <c r="AB71" i="1" l="1"/>
  <c r="I41" i="2"/>
  <c r="J38" i="2"/>
  <c r="I49" i="2"/>
  <c r="H88" i="3"/>
  <c r="H94" i="3" s="1"/>
  <c r="H84" i="3"/>
  <c r="H86" i="3" s="1"/>
  <c r="H103" i="3" s="1"/>
  <c r="K23" i="3"/>
  <c r="J74" i="3"/>
  <c r="J76" i="3" s="1"/>
  <c r="J102" i="3" s="1"/>
  <c r="J108" i="3" s="1"/>
  <c r="G109" i="3"/>
  <c r="G104" i="3"/>
  <c r="G110" i="3" s="1"/>
  <c r="M87" i="3"/>
  <c r="M45" i="2"/>
  <c r="K73" i="3"/>
  <c r="K93" i="3" s="1"/>
  <c r="K83" i="3"/>
  <c r="H109" i="3" l="1"/>
  <c r="H104" i="3"/>
  <c r="H110" i="3" s="1"/>
  <c r="J49" i="2"/>
  <c r="I88" i="3"/>
  <c r="I94" i="3" s="1"/>
  <c r="I84" i="3"/>
  <c r="I86" i="3" s="1"/>
  <c r="I103" i="3" s="1"/>
  <c r="L23" i="3"/>
  <c r="K74" i="3"/>
  <c r="K76" i="3" s="1"/>
  <c r="K102" i="3" s="1"/>
  <c r="K108" i="3" s="1"/>
  <c r="K38" i="2"/>
  <c r="J41" i="2"/>
  <c r="M73" i="3"/>
  <c r="M93" i="3" s="1"/>
  <c r="L73" i="3"/>
  <c r="L83" i="3"/>
  <c r="M83" i="3"/>
  <c r="L93" i="3" l="1"/>
  <c r="I109" i="3"/>
  <c r="I104" i="3"/>
  <c r="I110" i="3" s="1"/>
  <c r="K41" i="2"/>
  <c r="L38" i="2"/>
  <c r="K49" i="2"/>
  <c r="J88" i="3"/>
  <c r="J94" i="3" s="1"/>
  <c r="J84" i="3"/>
  <c r="J86" i="3" s="1"/>
  <c r="J103" i="3" s="1"/>
  <c r="M23" i="3"/>
  <c r="M74" i="3" s="1"/>
  <c r="M76" i="3" s="1"/>
  <c r="M102" i="3" s="1"/>
  <c r="M108" i="3" s="1"/>
  <c r="L74" i="3"/>
  <c r="L76" i="3" s="1"/>
  <c r="L102" i="3" s="1"/>
  <c r="L108" i="3" s="1"/>
  <c r="J109" i="3" l="1"/>
  <c r="J104" i="3"/>
  <c r="J110" i="3" s="1"/>
  <c r="L49" i="2"/>
  <c r="K88" i="3"/>
  <c r="K94" i="3" s="1"/>
  <c r="K84" i="3"/>
  <c r="K86" i="3" s="1"/>
  <c r="K103" i="3" s="1"/>
  <c r="M38" i="2"/>
  <c r="M41" i="2" s="1"/>
  <c r="L41" i="2"/>
  <c r="Z86" i="1"/>
  <c r="K109" i="3" l="1"/>
  <c r="K104" i="3"/>
  <c r="K110" i="3" s="1"/>
  <c r="M49" i="2"/>
  <c r="L88" i="3"/>
  <c r="L94" i="3" s="1"/>
  <c r="L84" i="3"/>
  <c r="L86" i="3" s="1"/>
  <c r="L103" i="3" s="1"/>
  <c r="M88" i="3" l="1"/>
  <c r="M94" i="3" s="1"/>
  <c r="M84" i="3"/>
  <c r="M86" i="3" s="1"/>
  <c r="M103" i="3" s="1"/>
  <c r="L109" i="3"/>
  <c r="L104" i="3"/>
  <c r="L110" i="3" s="1"/>
  <c r="M109" i="3" l="1"/>
  <c r="M104" i="3"/>
  <c r="M110" i="3" s="1"/>
  <c r="F72" i="1" l="1"/>
  <c r="F76" i="1" l="1"/>
  <c r="F74" i="1"/>
  <c r="F78" i="1" l="1"/>
  <c r="F79" i="1" s="1"/>
  <c r="I72" i="1" l="1"/>
  <c r="I74" i="1" s="1"/>
  <c r="I76" i="1" l="1"/>
  <c r="I78" i="1" s="1"/>
  <c r="I79" i="1" s="1"/>
  <c r="J72" i="1"/>
  <c r="J74" i="1" s="1"/>
  <c r="K74" i="1" s="1"/>
  <c r="G71" i="1"/>
  <c r="H71" i="1" s="1"/>
  <c r="G72" i="1"/>
  <c r="G74" i="1" s="1"/>
  <c r="H74" i="1" s="1"/>
  <c r="J76" i="1" l="1"/>
  <c r="J78" i="1" s="1"/>
  <c r="K78" i="1" s="1"/>
  <c r="K72" i="1"/>
  <c r="H72" i="1"/>
  <c r="G76" i="1"/>
  <c r="H76" i="1" s="1"/>
  <c r="J79" i="1" l="1"/>
  <c r="K79" i="1" s="1"/>
  <c r="K76" i="1"/>
  <c r="G78" i="1"/>
  <c r="G79" i="1" l="1"/>
  <c r="H79" i="1" s="1"/>
  <c r="H78" i="1"/>
  <c r="Y72" i="1"/>
  <c r="Y76" i="1" l="1"/>
  <c r="Z72" i="1"/>
  <c r="Y74" i="1"/>
  <c r="Z74" i="1" s="1"/>
  <c r="Z71" i="1"/>
  <c r="Z52" i="1"/>
  <c r="Y78" i="1" l="1"/>
  <c r="Z76" i="1"/>
  <c r="AB39" i="1"/>
  <c r="AA72" i="1"/>
  <c r="Z78" i="1" l="1"/>
  <c r="Y79" i="1"/>
  <c r="Z79" i="1" s="1"/>
  <c r="AA74" i="1"/>
  <c r="AB74" i="1" s="1"/>
  <c r="AB72" i="1"/>
  <c r="AA76" i="1"/>
  <c r="AA78" i="1" l="1"/>
  <c r="AB76" i="1"/>
  <c r="AB78" i="1" l="1"/>
  <c r="AA79" i="1"/>
  <c r="AB79" i="1" s="1"/>
</calcChain>
</file>

<file path=xl/sharedStrings.xml><?xml version="1.0" encoding="utf-8"?>
<sst xmlns="http://schemas.openxmlformats.org/spreadsheetml/2006/main" count="682" uniqueCount="296">
  <si>
    <t>Celkové vyúčtování všech položek výpočtu ceny podle</t>
  </si>
  <si>
    <t>cenových předpisů pro vodné a stočné</t>
  </si>
  <si>
    <t>Pro kalendářní rok:</t>
  </si>
  <si>
    <t>Příjemce V+S:</t>
  </si>
  <si>
    <t>Dílčí odběratelské vyúčtování ceny</t>
  </si>
  <si>
    <t>Tabulka č.1</t>
  </si>
  <si>
    <t>Nákladové položky</t>
  </si>
  <si>
    <t>Měrná</t>
  </si>
  <si>
    <t>Řádek</t>
  </si>
  <si>
    <t>jedn.</t>
  </si>
  <si>
    <t>Skutečnost</t>
  </si>
  <si>
    <t>Kalkulace</t>
  </si>
  <si>
    <t>Rozdíl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</si>
  <si>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</si>
  <si>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</si>
  <si>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</si>
  <si>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</si>
  <si>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</si>
  <si>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</si>
  <si>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</si>
  <si>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</si>
  <si>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</si>
  <si>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1.</t>
  </si>
  <si>
    <t>Materiál</t>
  </si>
  <si>
    <t>mil.Kč</t>
  </si>
  <si>
    <t>1.1</t>
  </si>
  <si>
    <t>- surová voda podzemní + povrchová</t>
  </si>
  <si>
    <t>1.2</t>
  </si>
  <si>
    <t>- pitná voda převzatá+odpadní voda předaná</t>
  </si>
  <si>
    <t>1.3</t>
  </si>
  <si>
    <t>- chemikálie</t>
  </si>
  <si>
    <t>1.4</t>
  </si>
  <si>
    <t>- ostatní materiál</t>
  </si>
  <si>
    <t>2.</t>
  </si>
  <si>
    <t>Energie</t>
  </si>
  <si>
    <t>2.1</t>
  </si>
  <si>
    <t>- elektrická energie</t>
  </si>
  <si>
    <t>2.2</t>
  </si>
  <si>
    <t>- ostatní energie (plyn, pevná a kapalná)</t>
  </si>
  <si>
    <t>3.</t>
  </si>
  <si>
    <t>Mzdy</t>
  </si>
  <si>
    <t>3.1</t>
  </si>
  <si>
    <t>- přímé mzdy</t>
  </si>
  <si>
    <t>3.2</t>
  </si>
  <si>
    <t>- ostatní osobní náklady</t>
  </si>
  <si>
    <t>4.</t>
  </si>
  <si>
    <t>Ostatní přímé náklady</t>
  </si>
  <si>
    <t>4.1</t>
  </si>
  <si>
    <t>4.2</t>
  </si>
  <si>
    <t>- opravy infrastrukturního majetku</t>
  </si>
  <si>
    <t>4.3</t>
  </si>
  <si>
    <t>- nájem infrastrukturního majetku</t>
  </si>
  <si>
    <t>4.4</t>
  </si>
  <si>
    <t>- poplatky za vypouštění odpadních vod</t>
  </si>
  <si>
    <t>- ostatní provozní náklady externí</t>
  </si>
  <si>
    <t>- ostatní provozní náklady ve vlastní režii</t>
  </si>
  <si>
    <t>5.</t>
  </si>
  <si>
    <t>Finanční náklady</t>
  </si>
  <si>
    <t>6.</t>
  </si>
  <si>
    <t>Výrobní režie</t>
  </si>
  <si>
    <t>7.</t>
  </si>
  <si>
    <t>Správní režie</t>
  </si>
  <si>
    <t>8.</t>
  </si>
  <si>
    <t>Úplné vlastní náklady</t>
  </si>
  <si>
    <t>A</t>
  </si>
  <si>
    <t>Hodnota infrastruktur.m.podle VÚME</t>
  </si>
  <si>
    <t>B</t>
  </si>
  <si>
    <t>Pořizovací cena provozního maj.</t>
  </si>
  <si>
    <t>C</t>
  </si>
  <si>
    <t>Počet pracovníků</t>
  </si>
  <si>
    <t>osob</t>
  </si>
  <si>
    <t>D</t>
  </si>
  <si>
    <t>Voda pitná fakturovaná</t>
  </si>
  <si>
    <t>mil.m3</t>
  </si>
  <si>
    <t>E</t>
  </si>
  <si>
    <t>- z toho domácnosti</t>
  </si>
  <si>
    <t>F</t>
  </si>
  <si>
    <t>Voda odpadní odv. fakturovaná</t>
  </si>
  <si>
    <t>G</t>
  </si>
  <si>
    <t>H</t>
  </si>
  <si>
    <t>Voda srážková fakturovaná</t>
  </si>
  <si>
    <t>I</t>
  </si>
  <si>
    <t>Voda odpadní čištěná</t>
  </si>
  <si>
    <t>J</t>
  </si>
  <si>
    <t>Pitná nebo odpadní voda převzatá</t>
  </si>
  <si>
    <t>K</t>
  </si>
  <si>
    <t>Pitná nebo odpadní voda předaná</t>
  </si>
  <si>
    <t>9.</t>
  </si>
  <si>
    <t>JEDNOTKOVÉ NÁKLADY</t>
  </si>
  <si>
    <t>Kč/m3</t>
  </si>
  <si>
    <t>Kalkulovaná cena pro vodné a stočné</t>
  </si>
  <si>
    <t>Text</t>
  </si>
  <si>
    <t>10.</t>
  </si>
  <si>
    <t>Úplné vlastní náklady - ÚVN</t>
  </si>
  <si>
    <t>11.</t>
  </si>
  <si>
    <t>Kalkulační zisk</t>
  </si>
  <si>
    <t>11.a</t>
  </si>
  <si>
    <t>- podíl z ÚVN</t>
  </si>
  <si>
    <t>%</t>
  </si>
  <si>
    <t>11.b</t>
  </si>
  <si>
    <t>- z ř.11 na rozvoj a obnovu infr.majetku</t>
  </si>
  <si>
    <t>12.</t>
  </si>
  <si>
    <t>Celkem ÚVN + zisk</t>
  </si>
  <si>
    <t>13.</t>
  </si>
  <si>
    <t>14.</t>
  </si>
  <si>
    <t>15.</t>
  </si>
  <si>
    <t>Vypracoval:</t>
  </si>
  <si>
    <t>Datum:</t>
  </si>
  <si>
    <t xml:space="preserve">Kontroloval: </t>
  </si>
  <si>
    <t xml:space="preserve">Schválil: </t>
  </si>
  <si>
    <t>Telefon:</t>
  </si>
  <si>
    <t>E-mail:</t>
  </si>
  <si>
    <t>Vstupy Zadavatele</t>
  </si>
  <si>
    <t>Obecné</t>
  </si>
  <si>
    <t>Délka smlouvy (v letech)</t>
  </si>
  <si>
    <t>Nájemné</t>
  </si>
  <si>
    <t>tis. Kč</t>
  </si>
  <si>
    <t>Výroba</t>
  </si>
  <si>
    <t xml:space="preserve"> - objem vody vyrobené</t>
  </si>
  <si>
    <t>tis. m3/rok</t>
  </si>
  <si>
    <t xml:space="preserve"> - objem vody převzaté</t>
  </si>
  <si>
    <t xml:space="preserve"> - objem vody předané</t>
  </si>
  <si>
    <t>Voda k realizaci</t>
  </si>
  <si>
    <t>Objem vody dodané</t>
  </si>
  <si>
    <t xml:space="preserve"> - domácnosti</t>
  </si>
  <si>
    <t xml:space="preserve"> - ostatní</t>
  </si>
  <si>
    <t>Objem vody dodané - celkem</t>
  </si>
  <si>
    <t>1.1 surová voda podzemní + povrchová</t>
  </si>
  <si>
    <t>1.2 pitná voda převzatá</t>
  </si>
  <si>
    <t>1.3 chemikálie</t>
  </si>
  <si>
    <t>#</t>
  </si>
  <si>
    <t>Nabídka dodavatele</t>
  </si>
  <si>
    <t>Fixní náklady</t>
  </si>
  <si>
    <t>1.4 ostatní materiál</t>
  </si>
  <si>
    <t>2.2 ostatní energie (plyn, pevná a kapalná paliva)</t>
  </si>
  <si>
    <t>3.1 přímé mzdy</t>
  </si>
  <si>
    <t>3.2 ostatní osobní náklady</t>
  </si>
  <si>
    <t>4.2a opravy infrastrukturního majetku - havarijní</t>
  </si>
  <si>
    <t>4.4 poplatky za vypouštění odpadních vod</t>
  </si>
  <si>
    <t>4.5 ostatní provozní náklady externí</t>
  </si>
  <si>
    <t>4.6 ostatní provozní náklady ve vlastní režii</t>
  </si>
  <si>
    <t>Náklady dle objemu indexované  - na m3 pitné vody k realizaci</t>
  </si>
  <si>
    <t>2.1 elektrická energie</t>
  </si>
  <si>
    <t>Kč/příp.</t>
  </si>
  <si>
    <t>Výpočet Soutěžní Ceny</t>
  </si>
  <si>
    <t>Skutečně uhrazená produkce</t>
  </si>
  <si>
    <t>Soutěžní Cena</t>
  </si>
  <si>
    <t>Cena celkem (ve stálých cenách, bez DPH)</t>
  </si>
  <si>
    <t>Cena celkem (v běžných cenách, bez DPH)</t>
  </si>
  <si>
    <t>historicky</t>
  </si>
  <si>
    <t>nabídka</t>
  </si>
  <si>
    <t>Zisk</t>
  </si>
  <si>
    <t>Ztráty</t>
  </si>
  <si>
    <t>prognóza</t>
  </si>
  <si>
    <t>6. Výrobní režie (včetně odpisů)</t>
  </si>
  <si>
    <t>7. Správní režie (včetně odpisů)</t>
  </si>
  <si>
    <t>4.2 opravy infrastrukturního majetku - pitná voda</t>
  </si>
  <si>
    <t>Přípojky</t>
  </si>
  <si>
    <t>Počet přípojek</t>
  </si>
  <si>
    <t>ks</t>
  </si>
  <si>
    <t>poměr vody k realizaci / objem vody dodané celkem</t>
  </si>
  <si>
    <t>Náklady dle počtu přípojek - na jednu přípojku*</t>
  </si>
  <si>
    <t>*Navýšení fixních nákladů podle hodnot zadaných v oddílu "Náklady dle počtu přípojek" bude aplikováno při zvýšení počtu počtu přípojek o více než 10% oproti stávajícímu stavu.</t>
  </si>
  <si>
    <t>Prognóza cen pro vodné a stočné ve FM - běžné ceny**</t>
  </si>
  <si>
    <t>Náklady na Surovou vodu, Převzatou vodu a Chemikálie</t>
  </si>
  <si>
    <t>Náklady na Surovou vodu, Odpadní vodu předanou a Chemikálie</t>
  </si>
  <si>
    <t>Provozní náklady a Zisk nabízené dodavetelem</t>
  </si>
  <si>
    <t>Inflace</t>
  </si>
  <si>
    <t>Náklady dle objemu  - na m3 pitné vody k realizaci</t>
  </si>
  <si>
    <t>Sazba DPH</t>
  </si>
  <si>
    <t>Soutěžní formulář pro potřeby koncesního řízení</t>
  </si>
  <si>
    <t>Datum</t>
  </si>
  <si>
    <t>Identifikační údaje</t>
  </si>
  <si>
    <t>Zadavatel</t>
  </si>
  <si>
    <t>Název</t>
  </si>
  <si>
    <t>Zodpovědná osoba</t>
  </si>
  <si>
    <t>Kontaktní adresa</t>
  </si>
  <si>
    <t>Telefonní číslo</t>
  </si>
  <si>
    <t>Fax</t>
  </si>
  <si>
    <t>E-mail</t>
  </si>
  <si>
    <t>Dodavatel</t>
  </si>
  <si>
    <t>Vyplnil</t>
  </si>
  <si>
    <t>Takto označená pole (šedivé podbarvení) se dopočítávají automaticky.</t>
  </si>
  <si>
    <t>Takto označená pole (růžové podbarvení) na listech info, vstupy zadavatele a nabidka dodavatele vyplňuje zadavatel.</t>
  </si>
  <si>
    <t>Index cen průmyslových výrobců</t>
  </si>
  <si>
    <t>Index cen elektrické energie</t>
  </si>
  <si>
    <t>Složený index cen energie</t>
  </si>
  <si>
    <t>Index cen stavebních děl - pitná voda</t>
  </si>
  <si>
    <t>Mzdový index</t>
  </si>
  <si>
    <t>Výchozí rok (udává cenovou hladinu nabídky)*</t>
  </si>
  <si>
    <t>Legenda</t>
  </si>
  <si>
    <t>obyvatel</t>
  </si>
  <si>
    <t>Index poplatků za vypouštění OV</t>
  </si>
  <si>
    <t>Celkové provozní náklady a Zisk</t>
  </si>
  <si>
    <t>Vstupy - voda předaná</t>
  </si>
  <si>
    <t>Vodohospodářské sdružení Kolín</t>
  </si>
  <si>
    <t>Havelcova 70</t>
  </si>
  <si>
    <t>Vstupy - pitná voda - VHS</t>
  </si>
  <si>
    <t>Provozní náklady - pitná voda - VHS</t>
  </si>
  <si>
    <t>Provozní náklady - pitná voda - voda předaná</t>
  </si>
  <si>
    <t>Soutěžní Cena pro vodné bez DPH</t>
  </si>
  <si>
    <t>Výstupy - pitná voda - VHS</t>
  </si>
  <si>
    <t>Výstupy - pitná  voda - voda předaná</t>
  </si>
  <si>
    <t>Soutěžní Cena pro vodné - voda předaná</t>
  </si>
  <si>
    <t>Soutěžní Cena pro vodné - VHS</t>
  </si>
  <si>
    <t>Prognóza cen pro vodné ve FM - stálé ceny roku 2014</t>
  </si>
  <si>
    <t>Cena pro vodné - VHS (ve stálých cenách, bez DPH)</t>
  </si>
  <si>
    <t>Cena pro vodné - voda předaná (ve stálých cenách, bez DPH)</t>
  </si>
  <si>
    <t>Cena pro vodné - VHS (v běžných cenách, bez DPH)</t>
  </si>
  <si>
    <t>Cena pro vodné - voda předaná (v běžných cenách, bez DPH)</t>
  </si>
  <si>
    <t>*kromě kalkulace na rok 2016, která je pevně dána nabídkou dodavatele</t>
  </si>
  <si>
    <t>slanska@vhskolin.cz</t>
  </si>
  <si>
    <t>Takto označená pole se vztahují k pitné vodě VHS</t>
  </si>
  <si>
    <t>Takto označená pole se vztahují k vodě předané</t>
  </si>
  <si>
    <t>cenový index</t>
  </si>
  <si>
    <t>Nákladové položky, které nebyly součástí nabídky provozovatele (skutečnost)</t>
  </si>
  <si>
    <t>Nárok provozovatele</t>
  </si>
  <si>
    <t>5A</t>
  </si>
  <si>
    <t>4 - 5A</t>
  </si>
  <si>
    <t>8A</t>
  </si>
  <si>
    <t>7 - 8A</t>
  </si>
  <si>
    <t>Nárok</t>
  </si>
  <si>
    <t>x</t>
  </si>
  <si>
    <t>Nárok na navýšení zisku oproti kalkulaci</t>
  </si>
  <si>
    <t>Doplatek nájmu</t>
  </si>
  <si>
    <t>Voda pitná VHS</t>
  </si>
  <si>
    <t>Voda předaná</t>
  </si>
  <si>
    <t>Náklady pro výpočet ceny pro vodné</t>
  </si>
  <si>
    <t>Vyrovnání podle skutečnosti po uzavření příslušného roku</t>
  </si>
  <si>
    <t>Vyúčtování všech položek výpočtu cen pro vodné</t>
  </si>
  <si>
    <t>CENA pro vodné</t>
  </si>
  <si>
    <t>CENA pro vodné + DPH</t>
  </si>
  <si>
    <t>Voda fakturovaná pitná</t>
  </si>
  <si>
    <t>poměr vody převzaté k vodě k realizaci</t>
  </si>
  <si>
    <t>poměr vody vyrobené k vodě k realizaci</t>
  </si>
  <si>
    <t>Poměr vody vyrobené a převzaté k vodě realizaci (kalkulace)</t>
  </si>
  <si>
    <t>Poměr vody vyrobené a převzaté k vodě realizaci (skutečnost)</t>
  </si>
  <si>
    <t>Nájemné (kalkulace)</t>
  </si>
  <si>
    <t>Objem vody fakturované - upřesněná prognóza na následující rok (kalkulace)</t>
  </si>
  <si>
    <t>Nájem infrastrukturního majetku</t>
  </si>
  <si>
    <t>Tvorba kalkulace na následující rok</t>
  </si>
  <si>
    <t>Vyrovnání dle skutečnosti předchozího roku</t>
  </si>
  <si>
    <t>PROVÁDÍ SE V LISTOPADU (poprvé v r. 2016)</t>
  </si>
  <si>
    <t>PROVÁDÍ SE V ÚNORU (poprvé v r. 2017)</t>
  </si>
  <si>
    <t>SLOUPEC KALKULACE SE DOPOČÍTÁVÁ AUTOMATICKY, SLOUPEC SKUTEČNOST SE VYPLŇUJE V ÚNORU</t>
  </si>
  <si>
    <t>Kalkulace pro rok</t>
  </si>
  <si>
    <t>Informace o přiřazení indexů nákladovým položkám</t>
  </si>
  <si>
    <t>položka provozních nákladů</t>
  </si>
  <si>
    <t>11.Kalkulační zisk</t>
  </si>
  <si>
    <t>Informace o tvorbě kalkulací a využítí vyrovnání</t>
  </si>
  <si>
    <t>** za předpokladu inflace 2%</t>
  </si>
  <si>
    <t>Úspora z titulu snížení ztrát</t>
  </si>
  <si>
    <t xml:space="preserve">Úspora z titulu snížení ztrát </t>
  </si>
  <si>
    <t>meziroční nárůst</t>
  </si>
  <si>
    <t>Roční inflace (Index spotřebitelských cen)</t>
  </si>
  <si>
    <t>Index cen stavebních děl - pitná voda (tab. 4)</t>
  </si>
  <si>
    <t>Index cen průmyslových výrobců (tab. 2)</t>
  </si>
  <si>
    <t>Složený index cen energie (tab. 2)</t>
  </si>
  <si>
    <t>Index cen elektrické energie (tab. 2)</t>
  </si>
  <si>
    <t>Výsledné vyrovnání</t>
  </si>
  <si>
    <t>sazba DPH</t>
  </si>
  <si>
    <t>Mgr. et. Bc. Vít Rakušan, předseda Rady sdružení</t>
  </si>
  <si>
    <t>- odpisy</t>
  </si>
  <si>
    <t>- prostředky obnovy infrastrukturního majetku</t>
  </si>
  <si>
    <t>Provozní náklady</t>
  </si>
  <si>
    <t>5.1</t>
  </si>
  <si>
    <t>5.2</t>
  </si>
  <si>
    <t>5.3</t>
  </si>
  <si>
    <t>Tabulka č.2</t>
  </si>
  <si>
    <t>Finanční výnosy</t>
  </si>
  <si>
    <t>16.</t>
  </si>
  <si>
    <t>17.</t>
  </si>
  <si>
    <t>18.</t>
  </si>
  <si>
    <t>19.</t>
  </si>
  <si>
    <t>6. finanční náklady</t>
  </si>
  <si>
    <t>Neindexuje se (index = 1,000)</t>
  </si>
  <si>
    <t>5.1 poplatky za vypouštění odpadních vod</t>
  </si>
  <si>
    <t>5.2 ostatní provozní náklady externí</t>
  </si>
  <si>
    <t>5.3 ostatní provozní náklady ve vlastní režii</t>
  </si>
  <si>
    <t>8. Výrobní režie</t>
  </si>
  <si>
    <t>9. Správní režie</t>
  </si>
  <si>
    <t>6. Finanční náklady (spojené s Finanční zárukou)</t>
  </si>
  <si>
    <t>List kalkulace slouží pro výpočet návrhu kalkulace cen pro vodné na následující rok a návrh vyrovnání dle celkového vyúčtování všech položek výpočtu ceny pro vodné v předchozím roce.</t>
  </si>
  <si>
    <r>
      <t xml:space="preserve">Dodavatel vyplní do nabídky </t>
    </r>
    <r>
      <rPr>
        <b/>
        <u/>
        <sz val="10"/>
        <color indexed="8"/>
        <rFont val="Calibri"/>
        <family val="2"/>
        <charset val="238"/>
      </rPr>
      <t>pouze</t>
    </r>
    <r>
      <rPr>
        <sz val="10"/>
        <color indexed="8"/>
        <rFont val="Calibri"/>
        <family val="2"/>
        <charset val="238"/>
      </rPr>
      <t xml:space="preserve"> takto označená pole (zelené podbarvení, červený rám) na listu info a nabídka dodavatele. V případě jakéhokoli jiného dalšího zásahu může být nabídka prohlášena za neplatnou. V případě, že některé pole není vyplněno, má se zato, že jeho hodnota je rovna 0 (slovy: nula).</t>
    </r>
  </si>
  <si>
    <t>Mzdový index (tab. dle odvětví - zásobování vodou)</t>
  </si>
  <si>
    <t>Indexy se rozumí k 31.9. resp. k 3Q (vypněná hodnota = index pro aktuální rok / index pro rok 2014)</t>
  </si>
  <si>
    <t>Ing. Jaroslav Fišera</t>
  </si>
  <si>
    <t>Legerova 21, Kolín III</t>
  </si>
  <si>
    <t>jaroslav.fisera@vodoskolin.cz</t>
  </si>
  <si>
    <t>VODOS s.r.o.</t>
  </si>
  <si>
    <t>Nákladové položky, které nebyly součástí nabídky provozovatele (kalkulace)</t>
  </si>
  <si>
    <t>2.1 el. energie - navýšení</t>
  </si>
  <si>
    <t>mil. Kč</t>
  </si>
  <si>
    <t>Dodatečné smluvní navýšení nákladových položek (kalkulace)</t>
  </si>
  <si>
    <t>Navýšení nájemného</t>
  </si>
  <si>
    <t>Dodatečné smluvní navýšení nákladových položek (skutečnost)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</si>
</sst>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;\-General;"/>
    <numFmt numFmtId="165" formatCode="#0.000"/>
    <numFmt numFmtId="166" formatCode="#0.00"/>
    <numFmt numFmtId="167" formatCode="#0.0"/>
    <numFmt numFmtId="168" formatCode="0.000"/>
    <numFmt numFmtId="169" formatCode="0.0"/>
    <numFmt numFmtId="170" formatCode="0.0%"/>
    <numFmt numFmtId="171" formatCode="#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0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color indexed="2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thin">
        <color indexed="64"/>
      </bottom>
      <diagonal/>
    </border>
    <border>
      <left/>
      <right/>
      <top style="medium">
        <color rgb="FFC00000"/>
      </top>
      <bottom style="thin">
        <color indexed="64"/>
      </bottom>
      <diagonal/>
    </border>
    <border>
      <left/>
      <right style="medium">
        <color rgb="FFC00000"/>
      </right>
      <top style="medium">
        <color rgb="FFC00000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medium">
        <color rgb="FFC00000"/>
      </right>
      <top style="thin">
        <color indexed="64"/>
      </top>
      <bottom style="medium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4" fillId="0" borderId="0" applyFont="0" applyFill="0" applyBorder="0" applyAlignment="0" applyProtection="0"/>
  </cellStyleXfs>
  <cellXfs count="374">
    <xf numFmtId="0" fontId="0" fillId="0" borderId="0" xfId="0"/>
    <xf numFmtId="0" fontId="7" fillId="3" borderId="0" xfId="0" applyFont="1" applyFill="1"/>
    <xf numFmtId="0" fontId="7" fillId="0" borderId="0" xfId="0" applyFont="1"/>
    <xf numFmtId="0" fontId="9" fillId="2" borderId="1" xfId="1" applyFont="1" applyFill="1" applyBorder="1"/>
    <xf numFmtId="0" fontId="9" fillId="2" borderId="2" xfId="1" applyFont="1" applyFill="1" applyBorder="1"/>
    <xf numFmtId="0" fontId="9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3" xfId="1" applyFont="1" applyFill="1" applyBorder="1"/>
    <xf numFmtId="0" fontId="9" fillId="2" borderId="4" xfId="1" applyFont="1" applyFill="1" applyBorder="1" applyAlignment="1">
      <alignment horizontal="center"/>
    </xf>
    <xf numFmtId="49" fontId="8" fillId="2" borderId="5" xfId="1" applyNumberFormat="1" applyFont="1" applyFill="1" applyBorder="1" applyAlignment="1">
      <alignment horizontal="center"/>
    </xf>
    <xf numFmtId="49" fontId="8" fillId="2" borderId="6" xfId="1" applyNumberFormat="1" applyFont="1" applyFill="1" applyBorder="1" applyAlignment="1">
      <alignment horizontal="center"/>
    </xf>
    <xf numFmtId="49" fontId="8" fillId="4" borderId="5" xfId="1" applyNumberFormat="1" applyFont="1" applyFill="1" applyBorder="1"/>
    <xf numFmtId="0" fontId="8" fillId="4" borderId="5" xfId="1" applyFont="1" applyFill="1" applyBorder="1"/>
    <xf numFmtId="0" fontId="8" fillId="4" borderId="5" xfId="1" applyFont="1" applyFill="1" applyBorder="1" applyAlignment="1">
      <alignment horizontal="center"/>
    </xf>
    <xf numFmtId="165" fontId="8" fillId="4" borderId="5" xfId="1" applyNumberFormat="1" applyFont="1" applyFill="1" applyBorder="1"/>
    <xf numFmtId="165" fontId="8" fillId="4" borderId="6" xfId="1" applyNumberFormat="1" applyFont="1" applyFill="1" applyBorder="1"/>
    <xf numFmtId="0" fontId="7" fillId="0" borderId="0" xfId="0" applyFont="1" applyFill="1"/>
    <xf numFmtId="166" fontId="9" fillId="4" borderId="5" xfId="1" applyNumberFormat="1" applyFont="1" applyFill="1" applyBorder="1"/>
    <xf numFmtId="166" fontId="8" fillId="4" borderId="6" xfId="1" applyNumberFormat="1" applyFont="1" applyFill="1" applyBorder="1"/>
    <xf numFmtId="0" fontId="9" fillId="4" borderId="5" xfId="1" applyFont="1" applyFill="1" applyBorder="1"/>
    <xf numFmtId="165" fontId="9" fillId="4" borderId="5" xfId="1" applyNumberFormat="1" applyFont="1" applyFill="1" applyBorder="1"/>
    <xf numFmtId="166" fontId="8" fillId="4" borderId="5" xfId="1" applyNumberFormat="1" applyFont="1" applyFill="1" applyBorder="1"/>
    <xf numFmtId="0" fontId="12" fillId="0" borderId="0" xfId="0" applyFont="1"/>
    <xf numFmtId="0" fontId="13" fillId="0" borderId="0" xfId="0" applyFont="1"/>
    <xf numFmtId="0" fontId="7" fillId="0" borderId="0" xfId="0" applyFont="1" applyAlignment="1">
      <alignment horizont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7" fillId="4" borderId="0" xfId="0" applyFont="1" applyFill="1"/>
    <xf numFmtId="0" fontId="7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1" fontId="7" fillId="4" borderId="0" xfId="0" applyNumberFormat="1" applyFont="1" applyFill="1"/>
    <xf numFmtId="169" fontId="7" fillId="4" borderId="0" xfId="0" applyNumberFormat="1" applyFont="1" applyFill="1"/>
    <xf numFmtId="0" fontId="14" fillId="0" borderId="0" xfId="0" applyFont="1"/>
    <xf numFmtId="0" fontId="7" fillId="7" borderId="0" xfId="0" applyFont="1" applyFill="1" applyAlignment="1">
      <alignment horizontal="left" indent="1"/>
    </xf>
    <xf numFmtId="0" fontId="7" fillId="6" borderId="0" xfId="0" applyFont="1" applyFill="1" applyAlignment="1">
      <alignment horizontal="left" indent="1"/>
    </xf>
    <xf numFmtId="0" fontId="13" fillId="0" borderId="0" xfId="0" applyFont="1" applyFill="1" applyAlignment="1">
      <alignment horizontal="center"/>
    </xf>
    <xf numFmtId="0" fontId="13" fillId="6" borderId="0" xfId="0" applyFont="1" applyFill="1" applyAlignment="1"/>
    <xf numFmtId="0" fontId="13" fillId="8" borderId="0" xfId="0" applyFont="1" applyFill="1"/>
    <xf numFmtId="0" fontId="7" fillId="8" borderId="0" xfId="0" applyFont="1" applyFill="1"/>
    <xf numFmtId="0" fontId="7" fillId="8" borderId="0" xfId="0" applyFont="1" applyFill="1" applyAlignment="1">
      <alignment horizontal="center"/>
    </xf>
    <xf numFmtId="0" fontId="7" fillId="0" borderId="0" xfId="0" applyFont="1" applyFill="1" applyAlignment="1">
      <alignment horizontal="left" indent="1"/>
    </xf>
    <xf numFmtId="0" fontId="13" fillId="0" borderId="0" xfId="0" applyFont="1" applyFill="1"/>
    <xf numFmtId="2" fontId="7" fillId="0" borderId="0" xfId="0" applyNumberFormat="1" applyFont="1"/>
    <xf numFmtId="170" fontId="7" fillId="0" borderId="0" xfId="2" applyNumberFormat="1" applyFont="1"/>
    <xf numFmtId="169" fontId="7" fillId="5" borderId="0" xfId="0" applyNumberFormat="1" applyFont="1" applyFill="1"/>
    <xf numFmtId="2" fontId="7" fillId="5" borderId="0" xfId="0" applyNumberFormat="1" applyFont="1" applyFill="1"/>
    <xf numFmtId="0" fontId="13" fillId="0" borderId="0" xfId="0" applyFont="1" applyAlignment="1">
      <alignment horizontal="center"/>
    </xf>
    <xf numFmtId="0" fontId="7" fillId="6" borderId="12" xfId="0" applyFont="1" applyFill="1" applyBorder="1"/>
    <xf numFmtId="0" fontId="13" fillId="0" borderId="13" xfId="0" applyFont="1" applyFill="1" applyBorder="1" applyAlignment="1">
      <alignment horizontal="center"/>
    </xf>
    <xf numFmtId="169" fontId="7" fillId="7" borderId="13" xfId="0" applyNumberFormat="1" applyFont="1" applyFill="1" applyBorder="1"/>
    <xf numFmtId="0" fontId="7" fillId="6" borderId="13" xfId="0" applyFont="1" applyFill="1" applyBorder="1"/>
    <xf numFmtId="169" fontId="7" fillId="4" borderId="13" xfId="0" applyNumberFormat="1" applyFont="1" applyFill="1" applyBorder="1"/>
    <xf numFmtId="0" fontId="13" fillId="6" borderId="13" xfId="0" applyFont="1" applyFill="1" applyBorder="1" applyAlignment="1">
      <alignment horizontal="center"/>
    </xf>
    <xf numFmtId="0" fontId="7" fillId="0" borderId="13" xfId="0" applyFont="1" applyFill="1" applyBorder="1"/>
    <xf numFmtId="0" fontId="13" fillId="0" borderId="13" xfId="0" applyFont="1" applyBorder="1"/>
    <xf numFmtId="0" fontId="13" fillId="8" borderId="13" xfId="0" applyFont="1" applyFill="1" applyBorder="1"/>
    <xf numFmtId="0" fontId="13" fillId="0" borderId="13" xfId="0" applyFont="1" applyBorder="1" applyAlignment="1">
      <alignment horizontal="center"/>
    </xf>
    <xf numFmtId="0" fontId="7" fillId="8" borderId="14" xfId="0" applyFont="1" applyFill="1" applyBorder="1"/>
    <xf numFmtId="0" fontId="7" fillId="8" borderId="13" xfId="0" applyFont="1" applyFill="1" applyBorder="1"/>
    <xf numFmtId="0" fontId="7" fillId="0" borderId="0" xfId="0" applyFont="1" applyFill="1" applyBorder="1"/>
    <xf numFmtId="169" fontId="7" fillId="6" borderId="0" xfId="0" applyNumberFormat="1" applyFont="1" applyFill="1"/>
    <xf numFmtId="169" fontId="7" fillId="6" borderId="13" xfId="0" applyNumberFormat="1" applyFont="1" applyFill="1" applyBorder="1"/>
    <xf numFmtId="1" fontId="7" fillId="6" borderId="0" xfId="0" applyNumberFormat="1" applyFont="1" applyFill="1"/>
    <xf numFmtId="0" fontId="13" fillId="0" borderId="15" xfId="0" applyFont="1" applyFill="1" applyBorder="1" applyAlignment="1">
      <alignment horizontal="center"/>
    </xf>
    <xf numFmtId="49" fontId="9" fillId="4" borderId="5" xfId="1" applyNumberFormat="1" applyFont="1" applyFill="1" applyBorder="1"/>
    <xf numFmtId="0" fontId="9" fillId="4" borderId="5" xfId="1" applyFont="1" applyFill="1" applyBorder="1" applyAlignment="1">
      <alignment horizontal="center"/>
    </xf>
    <xf numFmtId="165" fontId="9" fillId="4" borderId="6" xfId="1" applyNumberFormat="1" applyFont="1" applyFill="1" applyBorder="1"/>
    <xf numFmtId="169" fontId="7" fillId="0" borderId="0" xfId="0" applyNumberFormat="1" applyFont="1"/>
    <xf numFmtId="0" fontId="7" fillId="4" borderId="0" xfId="0" applyFont="1" applyFill="1" applyAlignment="1">
      <alignment horizontal="center"/>
    </xf>
    <xf numFmtId="2" fontId="7" fillId="4" borderId="0" xfId="0" applyNumberFormat="1" applyFont="1" applyFill="1"/>
    <xf numFmtId="9" fontId="7" fillId="5" borderId="0" xfId="2" applyFont="1" applyFill="1" applyAlignment="1">
      <alignment horizontal="center"/>
    </xf>
    <xf numFmtId="165" fontId="9" fillId="0" borderId="5" xfId="1" applyNumberFormat="1" applyFont="1" applyFill="1" applyBorder="1"/>
    <xf numFmtId="166" fontId="9" fillId="0" borderId="5" xfId="1" applyNumberFormat="1" applyFont="1" applyFill="1" applyBorder="1"/>
    <xf numFmtId="0" fontId="9" fillId="0" borderId="5" xfId="1" applyFont="1" applyFill="1" applyBorder="1"/>
    <xf numFmtId="0" fontId="13" fillId="0" borderId="0" xfId="0" applyFont="1" applyAlignment="1">
      <alignment horizontal="right"/>
    </xf>
    <xf numFmtId="0" fontId="12" fillId="8" borderId="0" xfId="0" applyFont="1" applyFill="1"/>
    <xf numFmtId="2" fontId="6" fillId="4" borderId="0" xfId="0" applyNumberFormat="1" applyFont="1" applyFill="1" applyBorder="1"/>
    <xf numFmtId="0" fontId="6" fillId="8" borderId="0" xfId="0" applyFont="1" applyFill="1" applyBorder="1"/>
    <xf numFmtId="0" fontId="6" fillId="8" borderId="0" xfId="0" applyFont="1" applyFill="1" applyBorder="1" applyAlignment="1">
      <alignment horizontal="center"/>
    </xf>
    <xf numFmtId="2" fontId="6" fillId="8" borderId="0" xfId="0" applyNumberFormat="1" applyFont="1" applyFill="1" applyBorder="1"/>
    <xf numFmtId="2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/>
    <xf numFmtId="0" fontId="6" fillId="4" borderId="0" xfId="0" applyFont="1" applyFill="1" applyBorder="1" applyAlignment="1">
      <alignment horizontal="center"/>
    </xf>
    <xf numFmtId="169" fontId="15" fillId="0" borderId="0" xfId="0" applyNumberFormat="1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/>
    <xf numFmtId="9" fontId="7" fillId="0" borderId="0" xfId="2" applyFont="1" applyFill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5" borderId="0" xfId="0" applyFont="1" applyFill="1"/>
    <xf numFmtId="0" fontId="16" fillId="7" borderId="16" xfId="0" applyFont="1" applyFill="1" applyBorder="1"/>
    <xf numFmtId="0" fontId="16" fillId="7" borderId="15" xfId="0" applyFont="1" applyFill="1" applyBorder="1"/>
    <xf numFmtId="0" fontId="16" fillId="0" borderId="15" xfId="0" applyFont="1" applyBorder="1"/>
    <xf numFmtId="0" fontId="16" fillId="7" borderId="17" xfId="0" applyFont="1" applyFill="1" applyBorder="1"/>
    <xf numFmtId="0" fontId="13" fillId="5" borderId="0" xfId="0" applyFont="1" applyFill="1" applyBorder="1"/>
    <xf numFmtId="0" fontId="13" fillId="5" borderId="0" xfId="0" applyFont="1" applyFill="1" applyBorder="1" applyAlignment="1">
      <alignment horizontal="center"/>
    </xf>
    <xf numFmtId="0" fontId="7" fillId="5" borderId="0" xfId="0" applyFont="1" applyFill="1" applyAlignment="1">
      <alignment horizontal="left"/>
    </xf>
    <xf numFmtId="0" fontId="12" fillId="8" borderId="0" xfId="0" applyFont="1" applyFill="1" applyAlignment="1">
      <alignment horizontal="center"/>
    </xf>
    <xf numFmtId="0" fontId="17" fillId="4" borderId="7" xfId="0" applyFont="1" applyFill="1" applyBorder="1"/>
    <xf numFmtId="0" fontId="17" fillId="4" borderId="8" xfId="0" applyFont="1" applyFill="1" applyBorder="1" applyAlignment="1">
      <alignment horizontal="center"/>
    </xf>
    <xf numFmtId="0" fontId="17" fillId="4" borderId="8" xfId="0" applyFont="1" applyFill="1" applyBorder="1"/>
    <xf numFmtId="2" fontId="17" fillId="4" borderId="9" xfId="0" applyNumberFormat="1" applyFont="1" applyFill="1" applyBorder="1"/>
    <xf numFmtId="49" fontId="9" fillId="0" borderId="5" xfId="1" applyNumberFormat="1" applyFont="1" applyFill="1" applyBorder="1"/>
    <xf numFmtId="0" fontId="9" fillId="0" borderId="5" xfId="1" applyFont="1" applyFill="1" applyBorder="1" applyAlignment="1">
      <alignment horizontal="center"/>
    </xf>
    <xf numFmtId="0" fontId="8" fillId="0" borderId="5" xfId="1" applyFont="1" applyFill="1" applyBorder="1"/>
    <xf numFmtId="0" fontId="8" fillId="0" borderId="5" xfId="1" applyFont="1" applyFill="1" applyBorder="1" applyAlignment="1">
      <alignment horizontal="center"/>
    </xf>
    <xf numFmtId="49" fontId="8" fillId="0" borderId="5" xfId="1" applyNumberFormat="1" applyFont="1" applyFill="1" applyBorder="1"/>
    <xf numFmtId="166" fontId="8" fillId="0" borderId="5" xfId="1" applyNumberFormat="1" applyFont="1" applyFill="1" applyBorder="1"/>
    <xf numFmtId="0" fontId="16" fillId="6" borderId="0" xfId="0" applyFont="1" applyFill="1"/>
    <xf numFmtId="0" fontId="16" fillId="8" borderId="0" xfId="0" applyFont="1" applyFill="1"/>
    <xf numFmtId="0" fontId="16" fillId="7" borderId="18" xfId="0" applyFont="1" applyFill="1" applyBorder="1" applyAlignment="1">
      <alignment horizontal="left"/>
    </xf>
    <xf numFmtId="0" fontId="16" fillId="7" borderId="19" xfId="0" applyFont="1" applyFill="1" applyBorder="1" applyAlignment="1">
      <alignment horizontal="left"/>
    </xf>
    <xf numFmtId="0" fontId="16" fillId="0" borderId="19" xfId="0" applyFont="1" applyBorder="1" applyAlignment="1">
      <alignment horizontal="left"/>
    </xf>
    <xf numFmtId="1" fontId="7" fillId="5" borderId="0" xfId="0" applyNumberFormat="1" applyFont="1" applyFill="1"/>
    <xf numFmtId="0" fontId="18" fillId="0" borderId="0" xfId="0" applyFont="1" applyFill="1" applyAlignment="1">
      <alignment horizontal="center"/>
    </xf>
    <xf numFmtId="2" fontId="7" fillId="7" borderId="13" xfId="0" applyNumberFormat="1" applyFont="1" applyFill="1" applyBorder="1"/>
    <xf numFmtId="2" fontId="7" fillId="7" borderId="15" xfId="0" applyNumberFormat="1" applyFont="1" applyFill="1" applyBorder="1"/>
    <xf numFmtId="1" fontId="7" fillId="7" borderId="13" xfId="0" applyNumberFormat="1" applyFont="1" applyFill="1" applyBorder="1"/>
    <xf numFmtId="1" fontId="7" fillId="4" borderId="0" xfId="0" applyNumberFormat="1" applyFont="1" applyFill="1" applyBorder="1"/>
    <xf numFmtId="0" fontId="13" fillId="0" borderId="0" xfId="0" applyFont="1" applyFill="1" applyAlignment="1">
      <alignment horizontal="center"/>
    </xf>
    <xf numFmtId="170" fontId="7" fillId="0" borderId="0" xfId="0" applyNumberFormat="1" applyFont="1"/>
    <xf numFmtId="3" fontId="13" fillId="5" borderId="0" xfId="0" applyNumberFormat="1" applyFont="1" applyFill="1" applyBorder="1"/>
    <xf numFmtId="3" fontId="7" fillId="5" borderId="0" xfId="0" applyNumberFormat="1" applyFont="1" applyFill="1"/>
    <xf numFmtId="3" fontId="7" fillId="4" borderId="0" xfId="0" applyNumberFormat="1" applyFont="1" applyFill="1"/>
    <xf numFmtId="4" fontId="7" fillId="5" borderId="0" xfId="0" applyNumberFormat="1" applyFont="1" applyFill="1"/>
    <xf numFmtId="3" fontId="7" fillId="6" borderId="0" xfId="0" applyNumberFormat="1" applyFont="1" applyFill="1"/>
    <xf numFmtId="3" fontId="7" fillId="0" borderId="0" xfId="0" applyNumberFormat="1" applyFont="1" applyFill="1"/>
    <xf numFmtId="3" fontId="18" fillId="0" borderId="0" xfId="0" applyNumberFormat="1" applyFont="1" applyFill="1"/>
    <xf numFmtId="3" fontId="7" fillId="8" borderId="0" xfId="0" applyNumberFormat="1" applyFont="1" applyFill="1"/>
    <xf numFmtId="3" fontId="9" fillId="5" borderId="0" xfId="0" applyNumberFormat="1" applyFont="1" applyFill="1"/>
    <xf numFmtId="3" fontId="16" fillId="5" borderId="0" xfId="0" applyNumberFormat="1" applyFont="1" applyFill="1" applyAlignment="1">
      <alignment horizontal="left"/>
    </xf>
    <xf numFmtId="9" fontId="7" fillId="0" borderId="0" xfId="2" applyFont="1"/>
    <xf numFmtId="1" fontId="7" fillId="4" borderId="13" xfId="0" applyNumberFormat="1" applyFont="1" applyFill="1" applyBorder="1"/>
    <xf numFmtId="1" fontId="7" fillId="0" borderId="0" xfId="0" applyNumberFormat="1" applyFont="1"/>
    <xf numFmtId="0" fontId="7" fillId="9" borderId="0" xfId="0" applyFont="1" applyFill="1"/>
    <xf numFmtId="0" fontId="7" fillId="3" borderId="4" xfId="0" applyFont="1" applyFill="1" applyBorder="1" applyAlignment="1">
      <alignment horizontal="center"/>
    </xf>
    <xf numFmtId="0" fontId="9" fillId="3" borderId="6" xfId="1" applyFont="1" applyFill="1" applyBorder="1"/>
    <xf numFmtId="0" fontId="7" fillId="3" borderId="6" xfId="0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right"/>
    </xf>
    <xf numFmtId="171" fontId="9" fillId="0" borderId="5" xfId="1" applyNumberFormat="1" applyFont="1" applyFill="1" applyBorder="1"/>
    <xf numFmtId="171" fontId="9" fillId="4" borderId="5" xfId="1" applyNumberFormat="1" applyFont="1" applyFill="1" applyBorder="1"/>
    <xf numFmtId="171" fontId="9" fillId="4" borderId="6" xfId="1" applyNumberFormat="1" applyFont="1" applyFill="1" applyBorder="1"/>
    <xf numFmtId="165" fontId="8" fillId="4" borderId="1" xfId="1" applyNumberFormat="1" applyFont="1" applyFill="1" applyBorder="1"/>
    <xf numFmtId="165" fontId="8" fillId="3" borderId="23" xfId="1" applyNumberFormat="1" applyFont="1" applyFill="1" applyBorder="1"/>
    <xf numFmtId="0" fontId="7" fillId="3" borderId="28" xfId="0" applyFont="1" applyFill="1" applyBorder="1" applyAlignment="1">
      <alignment horizontal="center"/>
    </xf>
    <xf numFmtId="0" fontId="9" fillId="3" borderId="27" xfId="1" applyFont="1" applyFill="1" applyBorder="1" applyAlignment="1">
      <alignment wrapText="1"/>
    </xf>
    <xf numFmtId="168" fontId="7" fillId="3" borderId="6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wrapText="1"/>
    </xf>
    <xf numFmtId="168" fontId="7" fillId="3" borderId="28" xfId="0" applyNumberFormat="1" applyFont="1" applyFill="1" applyBorder="1" applyAlignment="1">
      <alignment horizontal="center"/>
    </xf>
    <xf numFmtId="0" fontId="21" fillId="3" borderId="29" xfId="1" applyFont="1" applyFill="1" applyBorder="1"/>
    <xf numFmtId="168" fontId="21" fillId="3" borderId="30" xfId="0" applyNumberFormat="1" applyFont="1" applyFill="1" applyBorder="1" applyAlignment="1">
      <alignment horizontal="center"/>
    </xf>
    <xf numFmtId="0" fontId="21" fillId="3" borderId="30" xfId="0" applyFont="1" applyFill="1" applyBorder="1"/>
    <xf numFmtId="168" fontId="21" fillId="3" borderId="31" xfId="0" applyNumberFormat="1" applyFont="1" applyFill="1" applyBorder="1" applyAlignment="1">
      <alignment horizontal="center"/>
    </xf>
    <xf numFmtId="0" fontId="9" fillId="9" borderId="0" xfId="1" applyFont="1" applyFill="1"/>
    <xf numFmtId="0" fontId="0" fillId="9" borderId="0" xfId="0" applyFill="1"/>
    <xf numFmtId="0" fontId="13" fillId="9" borderId="0" xfId="0" applyFont="1" applyFill="1"/>
    <xf numFmtId="0" fontId="7" fillId="10" borderId="4" xfId="0" applyFont="1" applyFill="1" applyBorder="1"/>
    <xf numFmtId="0" fontId="7" fillId="6" borderId="4" xfId="0" applyFont="1" applyFill="1" applyBorder="1"/>
    <xf numFmtId="0" fontId="7" fillId="6" borderId="27" xfId="0" applyFont="1" applyFill="1" applyBorder="1" applyAlignment="1">
      <alignment horizontal="center"/>
    </xf>
    <xf numFmtId="0" fontId="7" fillId="10" borderId="6" xfId="0" applyFont="1" applyFill="1" applyBorder="1" applyAlignment="1">
      <alignment horizontal="center"/>
    </xf>
    <xf numFmtId="2" fontId="9" fillId="7" borderId="15" xfId="0" applyNumberFormat="1" applyFont="1" applyFill="1" applyBorder="1"/>
    <xf numFmtId="168" fontId="9" fillId="0" borderId="6" xfId="1" applyNumberFormat="1" applyFont="1" applyFill="1" applyBorder="1"/>
    <xf numFmtId="165" fontId="9" fillId="0" borderId="6" xfId="1" applyNumberFormat="1" applyFont="1" applyFill="1" applyBorder="1"/>
    <xf numFmtId="0" fontId="9" fillId="3" borderId="0" xfId="1" applyFont="1" applyFill="1" applyBorder="1" applyAlignment="1">
      <alignment horizontal="center"/>
    </xf>
    <xf numFmtId="49" fontId="8" fillId="3" borderId="0" xfId="1" applyNumberFormat="1" applyFont="1" applyFill="1" applyBorder="1" applyAlignment="1">
      <alignment horizontal="center"/>
    </xf>
    <xf numFmtId="166" fontId="8" fillId="3" borderId="0" xfId="1" applyNumberFormat="1" applyFont="1" applyFill="1" applyBorder="1"/>
    <xf numFmtId="165" fontId="9" fillId="3" borderId="0" xfId="1" applyNumberFormat="1" applyFont="1" applyFill="1" applyBorder="1"/>
    <xf numFmtId="171" fontId="9" fillId="3" borderId="0" xfId="1" applyNumberFormat="1" applyFont="1" applyFill="1" applyBorder="1"/>
    <xf numFmtId="0" fontId="9" fillId="0" borderId="6" xfId="1" applyFont="1" applyFill="1" applyBorder="1" applyAlignment="1">
      <alignment horizontal="center"/>
    </xf>
    <xf numFmtId="0" fontId="9" fillId="3" borderId="23" xfId="1" applyFont="1" applyFill="1" applyBorder="1"/>
    <xf numFmtId="9" fontId="7" fillId="3" borderId="23" xfId="2" applyFont="1" applyFill="1" applyBorder="1" applyAlignment="1">
      <alignment horizontal="center"/>
    </xf>
    <xf numFmtId="0" fontId="7" fillId="3" borderId="32" xfId="0" applyFont="1" applyFill="1" applyBorder="1"/>
    <xf numFmtId="0" fontId="7" fillId="3" borderId="33" xfId="0" applyFont="1" applyFill="1" applyBorder="1"/>
    <xf numFmtId="0" fontId="7" fillId="3" borderId="34" xfId="0" applyFont="1" applyFill="1" applyBorder="1"/>
    <xf numFmtId="0" fontId="7" fillId="3" borderId="35" xfId="0" applyFont="1" applyFill="1" applyBorder="1"/>
    <xf numFmtId="0" fontId="7" fillId="3" borderId="0" xfId="0" applyFont="1" applyFill="1" applyBorder="1"/>
    <xf numFmtId="0" fontId="7" fillId="3" borderId="36" xfId="0" applyFont="1" applyFill="1" applyBorder="1"/>
    <xf numFmtId="0" fontId="20" fillId="3" borderId="36" xfId="1" applyFont="1" applyFill="1" applyBorder="1" applyAlignment="1">
      <alignment horizontal="center"/>
    </xf>
    <xf numFmtId="0" fontId="9" fillId="3" borderId="36" xfId="1" applyFont="1" applyFill="1" applyBorder="1" applyAlignment="1">
      <alignment horizontal="center"/>
    </xf>
    <xf numFmtId="0" fontId="7" fillId="3" borderId="36" xfId="0" applyFont="1" applyFill="1" applyBorder="1" applyAlignment="1">
      <alignment horizontal="center"/>
    </xf>
    <xf numFmtId="9" fontId="7" fillId="3" borderId="36" xfId="2" applyFont="1" applyFill="1" applyBorder="1" applyAlignment="1">
      <alignment horizontal="center"/>
    </xf>
    <xf numFmtId="0" fontId="20" fillId="3" borderId="35" xfId="1" applyFont="1" applyFill="1" applyBorder="1" applyAlignment="1">
      <alignment horizontal="center"/>
    </xf>
    <xf numFmtId="165" fontId="9" fillId="3" borderId="36" xfId="1" applyNumberFormat="1" applyFont="1" applyFill="1" applyBorder="1" applyAlignment="1">
      <alignment horizontal="center"/>
    </xf>
    <xf numFmtId="0" fontId="5" fillId="3" borderId="35" xfId="1" applyFont="1" applyFill="1" applyBorder="1"/>
    <xf numFmtId="0" fontId="5" fillId="3" borderId="35" xfId="1" applyFont="1" applyFill="1" applyBorder="1" applyAlignment="1">
      <alignment horizontal="right"/>
    </xf>
    <xf numFmtId="0" fontId="9" fillId="3" borderId="35" xfId="1" applyFont="1" applyFill="1" applyBorder="1" applyAlignment="1">
      <alignment horizontal="center"/>
    </xf>
    <xf numFmtId="0" fontId="0" fillId="3" borderId="33" xfId="0" applyFill="1" applyBorder="1"/>
    <xf numFmtId="0" fontId="13" fillId="3" borderId="34" xfId="0" applyFont="1" applyFill="1" applyBorder="1"/>
    <xf numFmtId="0" fontId="0" fillId="3" borderId="0" xfId="0" applyFill="1" applyBorder="1"/>
    <xf numFmtId="0" fontId="13" fillId="3" borderId="36" xfId="0" applyFont="1" applyFill="1" applyBorder="1"/>
    <xf numFmtId="0" fontId="20" fillId="2" borderId="35" xfId="1" applyFont="1" applyFill="1" applyBorder="1" applyAlignment="1"/>
    <xf numFmtId="0" fontId="8" fillId="2" borderId="35" xfId="1" applyFont="1" applyFill="1" applyBorder="1"/>
    <xf numFmtId="0" fontId="9" fillId="2" borderId="35" xfId="1" applyFont="1" applyFill="1" applyBorder="1"/>
    <xf numFmtId="0" fontId="9" fillId="3" borderId="0" xfId="1" applyFont="1" applyFill="1" applyBorder="1"/>
    <xf numFmtId="0" fontId="10" fillId="2" borderId="35" xfId="1" applyFont="1" applyFill="1" applyBorder="1" applyAlignment="1">
      <alignment horizontal="left"/>
    </xf>
    <xf numFmtId="0" fontId="19" fillId="3" borderId="36" xfId="0" applyFont="1" applyFill="1" applyBorder="1"/>
    <xf numFmtId="0" fontId="11" fillId="2" borderId="35" xfId="1" applyFont="1" applyFill="1" applyBorder="1" applyAlignment="1">
      <alignment horizontal="left"/>
    </xf>
    <xf numFmtId="0" fontId="9" fillId="3" borderId="35" xfId="1" applyFont="1" applyFill="1" applyBorder="1"/>
    <xf numFmtId="0" fontId="9" fillId="3" borderId="37" xfId="1" applyFont="1" applyFill="1" applyBorder="1"/>
    <xf numFmtId="0" fontId="9" fillId="3" borderId="38" xfId="1" applyFont="1" applyFill="1" applyBorder="1"/>
    <xf numFmtId="0" fontId="0" fillId="3" borderId="38" xfId="0" applyFill="1" applyBorder="1"/>
    <xf numFmtId="0" fontId="7" fillId="3" borderId="38" xfId="0" applyFont="1" applyFill="1" applyBorder="1"/>
    <xf numFmtId="0" fontId="13" fillId="3" borderId="39" xfId="0" applyFont="1" applyFill="1" applyBorder="1"/>
    <xf numFmtId="0" fontId="20" fillId="2" borderId="0" xfId="1" applyFont="1" applyFill="1" applyBorder="1" applyAlignment="1">
      <alignment horizontal="center"/>
    </xf>
    <xf numFmtId="0" fontId="5" fillId="2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right"/>
    </xf>
    <xf numFmtId="164" fontId="5" fillId="2" borderId="0" xfId="1" applyNumberFormat="1" applyFont="1" applyFill="1" applyBorder="1"/>
    <xf numFmtId="0" fontId="5" fillId="3" borderId="36" xfId="1" applyFont="1" applyFill="1" applyBorder="1"/>
    <xf numFmtId="1" fontId="6" fillId="2" borderId="0" xfId="1" applyNumberFormat="1" applyFont="1" applyFill="1" applyBorder="1" applyAlignment="1" applyProtection="1">
      <alignment horizontal="left"/>
      <protection locked="0"/>
    </xf>
    <xf numFmtId="0" fontId="5" fillId="3" borderId="36" xfId="1" applyFont="1" applyFill="1" applyBorder="1" applyAlignment="1">
      <alignment horizontal="right"/>
    </xf>
    <xf numFmtId="49" fontId="8" fillId="3" borderId="36" xfId="1" applyNumberFormat="1" applyFont="1" applyFill="1" applyBorder="1" applyAlignment="1">
      <alignment horizontal="center"/>
    </xf>
    <xf numFmtId="165" fontId="8" fillId="3" borderId="36" xfId="1" applyNumberFormat="1" applyFont="1" applyFill="1" applyBorder="1"/>
    <xf numFmtId="166" fontId="8" fillId="3" borderId="36" xfId="1" applyNumberFormat="1" applyFont="1" applyFill="1" applyBorder="1"/>
    <xf numFmtId="167" fontId="8" fillId="3" borderId="36" xfId="1" applyNumberFormat="1" applyFont="1" applyFill="1" applyBorder="1"/>
    <xf numFmtId="0" fontId="8" fillId="3" borderId="36" xfId="1" applyFont="1" applyFill="1" applyBorder="1"/>
    <xf numFmtId="0" fontId="9" fillId="2" borderId="0" xfId="1" applyFont="1" applyFill="1" applyBorder="1"/>
    <xf numFmtId="0" fontId="9" fillId="3" borderId="36" xfId="1" applyFont="1" applyFill="1" applyBorder="1"/>
    <xf numFmtId="0" fontId="8" fillId="3" borderId="36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right"/>
    </xf>
    <xf numFmtId="0" fontId="9" fillId="3" borderId="36" xfId="1" applyFont="1" applyFill="1" applyBorder="1" applyAlignment="1">
      <alignment horizontal="right"/>
    </xf>
    <xf numFmtId="165" fontId="9" fillId="3" borderId="36" xfId="1" applyNumberFormat="1" applyFont="1" applyFill="1" applyBorder="1"/>
    <xf numFmtId="171" fontId="9" fillId="3" borderId="36" xfId="1" applyNumberFormat="1" applyFont="1" applyFill="1" applyBorder="1"/>
    <xf numFmtId="0" fontId="9" fillId="2" borderId="0" xfId="1" applyFont="1" applyFill="1" applyBorder="1" applyProtection="1">
      <protection locked="0"/>
    </xf>
    <xf numFmtId="0" fontId="9" fillId="3" borderId="36" xfId="1" applyFont="1" applyFill="1" applyBorder="1" applyProtection="1">
      <protection locked="0"/>
    </xf>
    <xf numFmtId="0" fontId="7" fillId="3" borderId="37" xfId="0" applyFont="1" applyFill="1" applyBorder="1"/>
    <xf numFmtId="0" fontId="9" fillId="3" borderId="39" xfId="1" applyFont="1" applyFill="1" applyBorder="1"/>
    <xf numFmtId="165" fontId="9" fillId="11" borderId="5" xfId="1" applyNumberFormat="1" applyFont="1" applyFill="1" applyBorder="1"/>
    <xf numFmtId="166" fontId="9" fillId="11" borderId="5" xfId="1" applyNumberFormat="1" applyFont="1" applyFill="1" applyBorder="1"/>
    <xf numFmtId="167" fontId="9" fillId="11" borderId="5" xfId="1" applyNumberFormat="1" applyFont="1" applyFill="1" applyBorder="1"/>
    <xf numFmtId="0" fontId="9" fillId="11" borderId="5" xfId="1" applyFont="1" applyFill="1" applyBorder="1"/>
    <xf numFmtId="9" fontId="7" fillId="11" borderId="6" xfId="2" applyFont="1" applyFill="1" applyBorder="1" applyAlignment="1">
      <alignment horizontal="center"/>
    </xf>
    <xf numFmtId="165" fontId="9" fillId="11" borderId="5" xfId="1" applyNumberFormat="1" applyFont="1" applyFill="1" applyBorder="1" applyAlignment="1">
      <alignment horizontal="center"/>
    </xf>
    <xf numFmtId="165" fontId="9" fillId="11" borderId="6" xfId="1" applyNumberFormat="1" applyFont="1" applyFill="1" applyBorder="1" applyAlignment="1">
      <alignment horizontal="center"/>
    </xf>
    <xf numFmtId="4" fontId="7" fillId="11" borderId="6" xfId="0" applyNumberFormat="1" applyFont="1" applyFill="1" applyBorder="1" applyAlignment="1">
      <alignment horizontal="center"/>
    </xf>
    <xf numFmtId="2" fontId="7" fillId="11" borderId="6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165" fontId="9" fillId="3" borderId="11" xfId="1" applyNumberFormat="1" applyFont="1" applyFill="1" applyBorder="1" applyAlignment="1">
      <alignment horizontal="left"/>
    </xf>
    <xf numFmtId="165" fontId="9" fillId="3" borderId="10" xfId="1" applyNumberFormat="1" applyFont="1" applyFill="1" applyBorder="1" applyAlignment="1">
      <alignment horizontal="left"/>
    </xf>
    <xf numFmtId="165" fontId="9" fillId="3" borderId="11" xfId="1" applyNumberFormat="1" applyFont="1" applyFill="1" applyBorder="1" applyAlignment="1"/>
    <xf numFmtId="165" fontId="9" fillId="3" borderId="10" xfId="1" applyNumberFormat="1" applyFont="1" applyFill="1" applyBorder="1" applyAlignment="1"/>
    <xf numFmtId="49" fontId="8" fillId="3" borderId="35" xfId="1" applyNumberFormat="1" applyFont="1" applyFill="1" applyBorder="1" applyAlignment="1">
      <alignment horizontal="center"/>
    </xf>
    <xf numFmtId="165" fontId="8" fillId="3" borderId="35" xfId="1" applyNumberFormat="1" applyFont="1" applyFill="1" applyBorder="1"/>
    <xf numFmtId="165" fontId="8" fillId="3" borderId="37" xfId="1" applyNumberFormat="1" applyFont="1" applyFill="1" applyBorder="1"/>
    <xf numFmtId="0" fontId="7" fillId="3" borderId="38" xfId="0" applyFont="1" applyFill="1" applyBorder="1" applyAlignment="1"/>
    <xf numFmtId="165" fontId="8" fillId="3" borderId="39" xfId="1" applyNumberFormat="1" applyFont="1" applyFill="1" applyBorder="1"/>
    <xf numFmtId="0" fontId="7" fillId="9" borderId="0" xfId="0" applyFont="1" applyFill="1" applyBorder="1"/>
    <xf numFmtId="165" fontId="9" fillId="3" borderId="5" xfId="1" applyNumberFormat="1" applyFont="1" applyFill="1" applyBorder="1"/>
    <xf numFmtId="0" fontId="20" fillId="2" borderId="0" xfId="1" applyFont="1" applyFill="1" applyBorder="1" applyAlignment="1"/>
    <xf numFmtId="0" fontId="9" fillId="3" borderId="5" xfId="1" applyFont="1" applyFill="1" applyBorder="1"/>
    <xf numFmtId="165" fontId="8" fillId="3" borderId="32" xfId="1" applyNumberFormat="1" applyFont="1" applyFill="1" applyBorder="1"/>
    <xf numFmtId="165" fontId="8" fillId="3" borderId="33" xfId="1" applyNumberFormat="1" applyFont="1" applyFill="1" applyBorder="1"/>
    <xf numFmtId="165" fontId="8" fillId="3" borderId="34" xfId="1" applyNumberFormat="1" applyFont="1" applyFill="1" applyBorder="1"/>
    <xf numFmtId="166" fontId="8" fillId="3" borderId="35" xfId="1" applyNumberFormat="1" applyFont="1" applyFill="1" applyBorder="1"/>
    <xf numFmtId="167" fontId="8" fillId="3" borderId="35" xfId="1" applyNumberFormat="1" applyFont="1" applyFill="1" applyBorder="1"/>
    <xf numFmtId="0" fontId="8" fillId="3" borderId="35" xfId="1" applyFont="1" applyFill="1" applyBorder="1"/>
    <xf numFmtId="0" fontId="8" fillId="3" borderId="37" xfId="1" applyFont="1" applyFill="1" applyBorder="1" applyAlignment="1">
      <alignment horizontal="center"/>
    </xf>
    <xf numFmtId="0" fontId="8" fillId="3" borderId="38" xfId="1" applyFont="1" applyFill="1" applyBorder="1" applyAlignment="1">
      <alignment horizontal="center"/>
    </xf>
    <xf numFmtId="0" fontId="8" fillId="3" borderId="39" xfId="1" applyFont="1" applyFill="1" applyBorder="1" applyAlignment="1">
      <alignment horizontal="center"/>
    </xf>
    <xf numFmtId="0" fontId="9" fillId="3" borderId="32" xfId="1" applyFont="1" applyFill="1" applyBorder="1" applyAlignment="1">
      <alignment horizontal="center"/>
    </xf>
    <xf numFmtId="0" fontId="9" fillId="3" borderId="34" xfId="1" applyFont="1" applyFill="1" applyBorder="1" applyAlignment="1">
      <alignment horizontal="center"/>
    </xf>
    <xf numFmtId="165" fontId="9" fillId="3" borderId="35" xfId="1" applyNumberFormat="1" applyFont="1" applyFill="1" applyBorder="1"/>
    <xf numFmtId="171" fontId="9" fillId="3" borderId="35" xfId="1" applyNumberFormat="1" applyFont="1" applyFill="1" applyBorder="1"/>
    <xf numFmtId="0" fontId="9" fillId="3" borderId="35" xfId="1" applyFont="1" applyFill="1" applyBorder="1" applyProtection="1">
      <protection locked="0"/>
    </xf>
    <xf numFmtId="0" fontId="9" fillId="3" borderId="0" xfId="1" applyFont="1" applyFill="1" applyBorder="1" applyProtection="1">
      <protection locked="0"/>
    </xf>
    <xf numFmtId="165" fontId="5" fillId="3" borderId="0" xfId="1" applyNumberFormat="1" applyFont="1" applyFill="1" applyBorder="1"/>
    <xf numFmtId="0" fontId="20" fillId="9" borderId="0" xfId="1" applyFont="1" applyFill="1" applyAlignment="1">
      <alignment horizontal="center"/>
    </xf>
    <xf numFmtId="0" fontId="5" fillId="9" borderId="0" xfId="1" applyFont="1" applyFill="1"/>
    <xf numFmtId="0" fontId="5" fillId="9" borderId="0" xfId="1" applyFont="1" applyFill="1" applyAlignment="1">
      <alignment horizontal="right"/>
    </xf>
    <xf numFmtId="0" fontId="9" fillId="9" borderId="0" xfId="1" applyFont="1" applyFill="1" applyBorder="1" applyAlignment="1">
      <alignment horizontal="center"/>
    </xf>
    <xf numFmtId="49" fontId="8" fillId="9" borderId="0" xfId="1" applyNumberFormat="1" applyFont="1" applyFill="1" applyBorder="1" applyAlignment="1">
      <alignment horizontal="center"/>
    </xf>
    <xf numFmtId="165" fontId="8" fillId="9" borderId="0" xfId="1" applyNumberFormat="1" applyFont="1" applyFill="1" applyBorder="1"/>
    <xf numFmtId="166" fontId="8" fillId="9" borderId="0" xfId="1" applyNumberFormat="1" applyFont="1" applyFill="1" applyBorder="1"/>
    <xf numFmtId="167" fontId="8" fillId="9" borderId="0" xfId="1" applyNumberFormat="1" applyFont="1" applyFill="1" applyBorder="1"/>
    <xf numFmtId="0" fontId="8" fillId="9" borderId="0" xfId="1" applyFont="1" applyFill="1" applyBorder="1"/>
    <xf numFmtId="0" fontId="8" fillId="9" borderId="0" xfId="1" applyFont="1" applyFill="1" applyAlignment="1">
      <alignment horizontal="center"/>
    </xf>
    <xf numFmtId="0" fontId="9" fillId="9" borderId="0" xfId="1" applyFont="1" applyFill="1" applyAlignment="1">
      <alignment horizontal="right"/>
    </xf>
    <xf numFmtId="165" fontId="9" fillId="9" borderId="0" xfId="1" applyNumberFormat="1" applyFont="1" applyFill="1" applyBorder="1"/>
    <xf numFmtId="171" fontId="9" fillId="9" borderId="0" xfId="1" applyNumberFormat="1" applyFont="1" applyFill="1" applyBorder="1"/>
    <xf numFmtId="0" fontId="9" fillId="9" borderId="0" xfId="1" applyFont="1" applyFill="1" applyProtection="1">
      <protection locked="0"/>
    </xf>
    <xf numFmtId="0" fontId="9" fillId="9" borderId="0" xfId="1" applyFont="1" applyFill="1" applyBorder="1" applyAlignment="1">
      <alignment horizontal="right"/>
    </xf>
    <xf numFmtId="0" fontId="20" fillId="9" borderId="0" xfId="1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9" fontId="7" fillId="9" borderId="0" xfId="2" applyFont="1" applyFill="1" applyBorder="1" applyAlignment="1">
      <alignment horizontal="center"/>
    </xf>
    <xf numFmtId="165" fontId="9" fillId="9" borderId="0" xfId="1" applyNumberFormat="1" applyFont="1" applyFill="1" applyBorder="1" applyAlignment="1">
      <alignment horizontal="center"/>
    </xf>
    <xf numFmtId="0" fontId="8" fillId="2" borderId="0" xfId="1" applyFont="1" applyFill="1" applyBorder="1"/>
    <xf numFmtId="49" fontId="8" fillId="3" borderId="5" xfId="1" applyNumberFormat="1" applyFont="1" applyFill="1" applyBorder="1" applyAlignment="1">
      <alignment horizontal="center"/>
    </xf>
    <xf numFmtId="2" fontId="7" fillId="4" borderId="15" xfId="0" applyNumberFormat="1" applyFont="1" applyFill="1" applyBorder="1"/>
    <xf numFmtId="2" fontId="7" fillId="4" borderId="0" xfId="0" applyNumberFormat="1" applyFont="1" applyFill="1" applyBorder="1"/>
    <xf numFmtId="0" fontId="7" fillId="3" borderId="2" xfId="0" applyFont="1" applyFill="1" applyBorder="1" applyAlignment="1">
      <alignment vertical="top"/>
    </xf>
    <xf numFmtId="0" fontId="7" fillId="3" borderId="40" xfId="0" applyFont="1" applyFill="1" applyBorder="1" applyAlignment="1">
      <alignment vertical="top"/>
    </xf>
    <xf numFmtId="0" fontId="7" fillId="3" borderId="3" xfId="0" applyFont="1" applyFill="1" applyBorder="1" applyAlignment="1">
      <alignment vertical="top"/>
    </xf>
    <xf numFmtId="0" fontId="7" fillId="3" borderId="42" xfId="0" applyFont="1" applyFill="1" applyBorder="1" applyAlignment="1">
      <alignment vertical="top"/>
    </xf>
    <xf numFmtId="0" fontId="7" fillId="3" borderId="5" xfId="0" applyFont="1" applyFill="1" applyBorder="1"/>
    <xf numFmtId="0" fontId="7" fillId="3" borderId="10" xfId="0" applyFont="1" applyFill="1" applyBorder="1"/>
    <xf numFmtId="0" fontId="23" fillId="11" borderId="6" xfId="0" applyFont="1" applyFill="1" applyBorder="1" applyAlignment="1">
      <alignment horizontal="center"/>
    </xf>
    <xf numFmtId="0" fontId="9" fillId="3" borderId="11" xfId="1" applyFont="1" applyFill="1" applyBorder="1"/>
    <xf numFmtId="0" fontId="9" fillId="3" borderId="10" xfId="1" applyFont="1" applyFill="1" applyBorder="1"/>
    <xf numFmtId="9" fontId="9" fillId="11" borderId="10" xfId="2" applyFont="1" applyFill="1" applyBorder="1" applyAlignment="1">
      <alignment horizontal="center"/>
    </xf>
    <xf numFmtId="0" fontId="9" fillId="2" borderId="4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/>
    </xf>
    <xf numFmtId="0" fontId="7" fillId="3" borderId="41" xfId="0" applyFont="1" applyFill="1" applyBorder="1" applyAlignment="1">
      <alignment horizontal="left" vertical="top"/>
    </xf>
    <xf numFmtId="0" fontId="7" fillId="3" borderId="3" xfId="0" applyFont="1" applyFill="1" applyBorder="1" applyAlignment="1">
      <alignment horizontal="left" vertical="top"/>
    </xf>
    <xf numFmtId="0" fontId="7" fillId="3" borderId="42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3" borderId="10" xfId="0" applyFont="1" applyFill="1" applyBorder="1" applyAlignment="1">
      <alignment horizontal="left" vertical="top"/>
    </xf>
    <xf numFmtId="0" fontId="20" fillId="2" borderId="0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9" fillId="3" borderId="5" xfId="1" applyFont="1" applyFill="1" applyBorder="1" applyAlignment="1">
      <alignment horizontal="left" vertical="top"/>
    </xf>
    <xf numFmtId="0" fontId="9" fillId="3" borderId="10" xfId="1" applyFont="1" applyFill="1" applyBorder="1" applyAlignment="1">
      <alignment horizontal="left" vertical="top"/>
    </xf>
    <xf numFmtId="0" fontId="9" fillId="6" borderId="5" xfId="1" applyFont="1" applyFill="1" applyBorder="1" applyAlignment="1">
      <alignment horizontal="center"/>
    </xf>
    <xf numFmtId="0" fontId="9" fillId="6" borderId="10" xfId="1" applyFont="1" applyFill="1" applyBorder="1" applyAlignment="1">
      <alignment horizontal="center"/>
    </xf>
    <xf numFmtId="0" fontId="9" fillId="10" borderId="5" xfId="1" applyFont="1" applyFill="1" applyBorder="1" applyAlignment="1">
      <alignment horizontal="center"/>
    </xf>
    <xf numFmtId="0" fontId="9" fillId="10" borderId="10" xfId="1" applyFont="1" applyFill="1" applyBorder="1" applyAlignment="1">
      <alignment horizontal="center"/>
    </xf>
    <xf numFmtId="9" fontId="9" fillId="0" borderId="0" xfId="2" applyFont="1" applyFill="1" applyBorder="1" applyAlignment="1">
      <alignment horizontal="center"/>
    </xf>
    <xf numFmtId="166" fontId="9" fillId="4" borderId="6" xfId="1" applyNumberFormat="1" applyFont="1" applyFill="1" applyBorder="1"/>
    <xf numFmtId="49" fontId="9" fillId="3" borderId="5" xfId="1" applyNumberFormat="1" applyFont="1" applyFill="1" applyBorder="1"/>
    <xf numFmtId="0" fontId="9" fillId="3" borderId="5" xfId="1" applyFont="1" applyFill="1" applyBorder="1" applyAlignment="1">
      <alignment horizontal="center"/>
    </xf>
    <xf numFmtId="166" fontId="9" fillId="3" borderId="5" xfId="1" applyNumberFormat="1" applyFont="1" applyFill="1" applyBorder="1"/>
    <xf numFmtId="0" fontId="0" fillId="3" borderId="0" xfId="0" applyFill="1"/>
    <xf numFmtId="0" fontId="16" fillId="7" borderId="19" xfId="0" applyFont="1" applyFill="1" applyBorder="1" applyAlignment="1" applyProtection="1">
      <alignment horizontal="left"/>
    </xf>
    <xf numFmtId="14" fontId="16" fillId="7" borderId="20" xfId="0" applyNumberFormat="1" applyFont="1" applyFill="1" applyBorder="1" applyAlignment="1">
      <alignment horizontal="left"/>
    </xf>
    <xf numFmtId="168" fontId="7" fillId="11" borderId="6" xfId="0" applyNumberFormat="1" applyFont="1" applyFill="1" applyBorder="1" applyAlignment="1">
      <alignment horizontal="center"/>
    </xf>
    <xf numFmtId="2" fontId="7" fillId="3" borderId="6" xfId="0" applyNumberFormat="1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0" borderId="6" xfId="1" applyNumberFormat="1" applyFont="1" applyFill="1" applyBorder="1" applyAlignment="1">
      <alignment horizontal="center"/>
    </xf>
    <xf numFmtId="0" fontId="7" fillId="0" borderId="5" xfId="0" applyFont="1" applyBorder="1"/>
    <xf numFmtId="0" fontId="16" fillId="0" borderId="0" xfId="0" applyFont="1" applyAlignment="1">
      <alignment horizontal="center"/>
    </xf>
    <xf numFmtId="0" fontId="16" fillId="7" borderId="21" xfId="0" applyFont="1" applyFill="1" applyBorder="1" applyAlignment="1">
      <alignment horizontal="center" vertical="center" wrapText="1"/>
    </xf>
    <xf numFmtId="0" fontId="16" fillId="7" borderId="22" xfId="0" applyFont="1" applyFill="1" applyBorder="1" applyAlignment="1">
      <alignment horizontal="center" vertical="center" wrapText="1"/>
    </xf>
    <xf numFmtId="0" fontId="16" fillId="5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0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6" borderId="5" xfId="1" applyFont="1" applyFill="1" applyBorder="1" applyAlignment="1">
      <alignment horizontal="center"/>
    </xf>
    <xf numFmtId="0" fontId="9" fillId="6" borderId="11" xfId="1" applyFont="1" applyFill="1" applyBorder="1" applyAlignment="1">
      <alignment horizontal="center"/>
    </xf>
    <xf numFmtId="0" fontId="9" fillId="6" borderId="10" xfId="1" applyFont="1" applyFill="1" applyBorder="1" applyAlignment="1">
      <alignment horizontal="center"/>
    </xf>
    <xf numFmtId="0" fontId="9" fillId="10" borderId="5" xfId="1" applyFont="1" applyFill="1" applyBorder="1" applyAlignment="1">
      <alignment horizontal="center"/>
    </xf>
    <xf numFmtId="0" fontId="9" fillId="10" borderId="11" xfId="1" applyFont="1" applyFill="1" applyBorder="1" applyAlignment="1">
      <alignment horizontal="center"/>
    </xf>
    <xf numFmtId="0" fontId="9" fillId="10" borderId="10" xfId="1" applyFont="1" applyFill="1" applyBorder="1" applyAlignment="1">
      <alignment horizontal="center"/>
    </xf>
    <xf numFmtId="0" fontId="9" fillId="2" borderId="43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22" fillId="3" borderId="35" xfId="0" applyFont="1" applyFill="1" applyBorder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22" fillId="3" borderId="36" xfId="0" applyFont="1" applyFill="1" applyBorder="1" applyAlignment="1">
      <alignment horizontal="center"/>
    </xf>
    <xf numFmtId="0" fontId="22" fillId="3" borderId="24" xfId="1" applyFont="1" applyFill="1" applyBorder="1" applyAlignment="1">
      <alignment horizontal="center"/>
    </xf>
    <xf numFmtId="0" fontId="22" fillId="3" borderId="25" xfId="1" applyFont="1" applyFill="1" applyBorder="1" applyAlignment="1">
      <alignment horizontal="center"/>
    </xf>
    <xf numFmtId="0" fontId="22" fillId="3" borderId="26" xfId="1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/>
    </xf>
  </cellXfs>
  <cellStyles count="3">
    <cellStyle name="Normální" xfId="0" builtinId="0"/>
    <cellStyle name="normální_export_2008_53_Všejany" xfId="1" xr:uid="{00000000-0005-0000-0000-000001000000}"/>
    <cellStyle name="Procenta" xfId="2" builtinId="5"/>
  </cellStyles>
  <dxfs count="1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70</xdr:row>
      <xdr:rowOff>161924</xdr:rowOff>
    </xdr:from>
    <xdr:to>
      <xdr:col>18</xdr:col>
      <xdr:colOff>19050</xdr:colOff>
      <xdr:row>88</xdr:row>
      <xdr:rowOff>28574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163050" y="10982324"/>
          <a:ext cx="4914900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 b="1"/>
            <a:t>1.</a:t>
          </a:r>
          <a:r>
            <a:rPr lang="cs-CZ" sz="900"/>
            <a:t> Při</a:t>
          </a:r>
          <a:r>
            <a:rPr lang="cs-CZ" sz="900" baseline="0"/>
            <a:t> tvorbě kalkulace se vyzužívá vždy původní sobor "Soutěžního formuláře", který byl součástí vítezné nabídky v koncesním řízení. Při vyrovnání se použije sobor "Soutěžního formuláře", ve kterém byla vytvořena kalkulace.</a:t>
          </a:r>
        </a:p>
        <a:p>
          <a:endParaRPr lang="cs-CZ" sz="900" baseline="0"/>
        </a:p>
        <a:p>
          <a:r>
            <a:rPr lang="cs-CZ" sz="900" b="1" baseline="0"/>
            <a:t>2. </a:t>
          </a:r>
          <a:r>
            <a:rPr lang="cs-CZ" sz="900" baseline="0"/>
            <a:t>Vyplňují se vždy pouze žlutě podbarvená pole.</a:t>
          </a:r>
          <a:endParaRPr lang="cs-CZ" sz="900"/>
        </a:p>
        <a:p>
          <a:endParaRPr lang="cs-CZ" sz="900" baseline="0"/>
        </a:p>
        <a:p>
          <a:r>
            <a:rPr lang="cs-CZ" sz="900" b="1"/>
            <a:t>3. </a:t>
          </a:r>
          <a:r>
            <a:rPr lang="cs-CZ" sz="900"/>
            <a:t>Návrh kalkulace</a:t>
          </a:r>
          <a:r>
            <a:rPr lang="cs-CZ" sz="900" baseline="0"/>
            <a:t> provede Provozovatel vždy do 30.11. aktuálního roku tak, že vyplní tabulku </a:t>
          </a:r>
          <a:r>
            <a:rPr lang="cs-CZ" sz="900"/>
            <a:t>"Tvorba kalkulace na následující rok"</a:t>
          </a:r>
          <a:r>
            <a:rPr lang="cs-CZ" sz="900" baseline="0"/>
            <a:t>. Provede tak upřesněný předpoklad příslušných položek na následující rok. Pro položky inflace a indexy použije hodnoty zveřejněné ČSÚ k 31.9. aktuálního roku resp., tam kde není hodnota k dispozici, hodnoty k Q3 aktuálního roku, v případě mezd ke Q2.</a:t>
          </a:r>
        </a:p>
        <a:p>
          <a:endParaRPr lang="cs-CZ" sz="900" baseline="0"/>
        </a:p>
        <a:p>
          <a:r>
            <a:rPr lang="cs-CZ" sz="900" b="1" baseline="0"/>
            <a:t>4. </a:t>
          </a:r>
          <a:r>
            <a:rPr lang="cs-CZ" sz="900" baseline="0"/>
            <a:t>Vyrovnání dle skutečných hodnot provede Provozovatel do 31.3. aktuálního roku tak, že </a:t>
          </a:r>
        </a:p>
        <a:p>
          <a:r>
            <a:rPr lang="cs-CZ" sz="900" b="1" baseline="0"/>
            <a:t>a)</a:t>
          </a:r>
          <a:r>
            <a:rPr lang="cs-CZ" sz="900" baseline="0"/>
            <a:t> vyplní skutečné hodnoty v tabulce "Celkové vyúčtování všech položek výpočtu ceny podle cenových předpisů pro vodné a stočné"</a:t>
          </a:r>
        </a:p>
        <a:p>
          <a:r>
            <a:rPr lang="cs-CZ" sz="900" b="1" baseline="0"/>
            <a:t>b) </a:t>
          </a:r>
          <a:r>
            <a:rPr lang="cs-CZ" sz="900" baseline="0"/>
            <a:t>stiskne políčko "dopocti zisk"</a:t>
          </a:r>
        </a:p>
        <a:p>
          <a:r>
            <a:rPr lang="cs-CZ" sz="900" b="1" baseline="0"/>
            <a:t>c) </a:t>
          </a:r>
          <a:r>
            <a:rPr lang="cs-CZ" sz="900" baseline="0"/>
            <a:t>vyplní skutečné hodnoty v tabulce "Vyrovnání dle skutečnosti předchozího roku "</a:t>
          </a:r>
        </a:p>
        <a:p>
          <a:r>
            <a:rPr lang="cs-CZ" sz="900" b="1" baseline="0"/>
            <a:t>d) </a:t>
          </a:r>
          <a:r>
            <a:rPr lang="cs-CZ" sz="900" baseline="0"/>
            <a:t>stiskne tlačítko "dopocti najem"</a:t>
          </a:r>
        </a:p>
        <a:p>
          <a:endParaRPr lang="cs-CZ" sz="900"/>
        </a:p>
        <a:p>
          <a:r>
            <a:rPr lang="cs-CZ" sz="900" b="1"/>
            <a:t>5. </a:t>
          </a:r>
          <a:r>
            <a:rPr lang="cs-CZ" sz="900"/>
            <a:t>Na doplatek či přeplatek nájmu vypočteného</a:t>
          </a:r>
          <a:r>
            <a:rPr lang="cs-CZ" sz="900" baseline="0"/>
            <a:t> tabulce "Finální vyrovnání" vystaví Vlastník fakturu či dobropis.</a:t>
          </a:r>
          <a:endParaRPr lang="cs-CZ" sz="9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590550</xdr:colOff>
          <xdr:row>87</xdr:row>
          <xdr:rowOff>28575</xdr:rowOff>
        </xdr:from>
        <xdr:to>
          <xdr:col>28</xdr:col>
          <xdr:colOff>0</xdr:colOff>
          <xdr:row>88</xdr:row>
          <xdr:rowOff>28575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dopocti najem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400050</xdr:colOff>
          <xdr:row>86</xdr:row>
          <xdr:rowOff>152400</xdr:rowOff>
        </xdr:from>
        <xdr:to>
          <xdr:col>11</xdr:col>
          <xdr:colOff>9525</xdr:colOff>
          <xdr:row>87</xdr:row>
          <xdr:rowOff>152400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3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cs-CZ" sz="10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dopocti zisk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krment/Documents/_Work/_Projects/Prezletice/vystupy/financni%20model/Zakladni_modul_vII.0.8_SF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krment/Documents/_Work/_Projects/Prezletice/vystupy/financni%20model/odemcene/Vyrovnavaci_nastroj_vII.0.8_SF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i list"/>
      <sheetName val="Info"/>
      <sheetName val="Spolecne vstupy"/>
      <sheetName val="Najemne V"/>
      <sheetName val="Najemne S"/>
      <sheetName val="Vstupy V"/>
      <sheetName val="Vypocty V"/>
      <sheetName val="Vystupy V"/>
      <sheetName val="Vstupy S"/>
      <sheetName val="Vypocty S"/>
      <sheetName val="Vystupy S"/>
      <sheetName val="Souhrn"/>
      <sheetName val="Kalkulace"/>
      <sheetName val="Slovnik"/>
    </sheetNames>
    <sheetDataSet>
      <sheetData sheetId="0"/>
      <sheetData sheetId="1"/>
      <sheetData sheetId="2">
        <row r="6">
          <cell r="C6">
            <v>2011</v>
          </cell>
        </row>
        <row r="15">
          <cell r="C15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7">
          <cell r="H17">
            <v>0.1</v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Info"/>
      <sheetName val="Vstupy ex ante"/>
      <sheetName val="Vstupy ex post"/>
      <sheetName val="Investiční náklady"/>
      <sheetName val="PV ex ante"/>
      <sheetName val="PV ex post"/>
      <sheetName val="PV výpočty"/>
      <sheetName val="PV Cena"/>
      <sheetName val="OV ex ante"/>
      <sheetName val="OV ex post"/>
      <sheetName val="OV výpočty"/>
      <sheetName val="OV Cena"/>
      <sheetName val="Analýza"/>
      <sheetName val="Souhrn"/>
      <sheetName val="Stručný souhrn"/>
      <sheetName val="Kalkulace"/>
      <sheetName val="Kalkulace výpočty"/>
      <sheetName val="Slovní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C1">
            <v>1</v>
          </cell>
        </row>
        <row r="4">
          <cell r="C4" t="str">
            <v>rok</v>
          </cell>
          <cell r="D4" t="str">
            <v>year</v>
          </cell>
        </row>
        <row r="5">
          <cell r="C5" t="str">
            <v>Cenové indexy</v>
          </cell>
          <cell r="D5" t="str">
            <v>Price indices</v>
          </cell>
        </row>
        <row r="6">
          <cell r="C6" t="str">
            <v>VSTUPY</v>
          </cell>
          <cell r="D6" t="str">
            <v>INPUTS</v>
          </cell>
        </row>
        <row r="7">
          <cell r="C7" t="str">
            <v>Současný rok</v>
          </cell>
          <cell r="D7" t="str">
            <v>Current Year</v>
          </cell>
        </row>
        <row r="8">
          <cell r="C8" t="str">
            <v>Délka trvání cenové fixace</v>
          </cell>
          <cell r="D8" t="str">
            <v>Duration of Price Control Period</v>
          </cell>
        </row>
        <row r="9">
          <cell r="C9" t="str">
            <v>Zbývající délka smlouvy</v>
          </cell>
          <cell r="D9" t="str">
            <v>Remaining contract life</v>
          </cell>
        </row>
        <row r="10">
          <cell r="C10" t="str">
            <v>Požadované VaPNaK</v>
          </cell>
          <cell r="D10" t="str">
            <v>Required WACC</v>
          </cell>
        </row>
        <row r="11">
          <cell r="C11" t="str">
            <v>Základní hodnota</v>
          </cell>
          <cell r="D11" t="str">
            <v>Base Value</v>
          </cell>
        </row>
        <row r="12">
          <cell r="C12" t="str">
            <v>Upravená hodnota (pro provozní společnost)</v>
          </cell>
          <cell r="D12" t="str">
            <v>Adjusted value of WACC (for Operator)</v>
          </cell>
        </row>
        <row r="13">
          <cell r="C13" t="str">
            <v>Odhad roční inflace</v>
          </cell>
          <cell r="D13" t="str">
            <v>Forecast inflation</v>
          </cell>
        </row>
        <row r="14">
          <cell r="C14" t="str">
            <v>Cenový index</v>
          </cell>
          <cell r="D14" t="str">
            <v>Inflation index</v>
          </cell>
        </row>
        <row r="15">
          <cell r="C15" t="str">
            <v>Výchozí rok</v>
          </cell>
          <cell r="D15" t="str">
            <v>Base Year</v>
          </cell>
        </row>
        <row r="16">
          <cell r="C16" t="str">
            <v>První období cenové fixace</v>
          </cell>
          <cell r="D16" t="str">
            <v>1st price control period</v>
          </cell>
        </row>
        <row r="17">
          <cell r="C17" t="str">
            <v>Druhé období cenové fixace</v>
          </cell>
          <cell r="D17" t="str">
            <v>2nd price control period</v>
          </cell>
        </row>
        <row r="18">
          <cell r="C18" t="str">
            <v>Vstupy z externích modulů</v>
          </cell>
          <cell r="D18" t="str">
            <v>Inputs from off model modules</v>
          </cell>
        </row>
        <row r="19">
          <cell r="C19" t="str">
            <v>Přímé uživatelské vstupy</v>
          </cell>
          <cell r="D19" t="str">
            <v>Direct inputs</v>
          </cell>
        </row>
        <row r="20">
          <cell r="C20" t="str">
            <v>Uživatelské vstupy - přepis předvolených hodnot</v>
          </cell>
          <cell r="D20" t="str">
            <v>User input - overriding default approach</v>
          </cell>
        </row>
        <row r="21">
          <cell r="C21" t="str">
            <v>Údaje mimo modelované období</v>
          </cell>
          <cell r="D21" t="str">
            <v>Data outside time period of relevance</v>
          </cell>
        </row>
        <row r="22">
          <cell r="C22" t="str">
            <v>Takto označené řádky vyžadují některé Přímé uživatelské vstupy</v>
          </cell>
          <cell r="D22" t="str">
            <v>The rows introduced by this sign require some Direct inputs</v>
          </cell>
        </row>
        <row r="23">
          <cell r="C23" t="str">
            <v>Nájemné</v>
          </cell>
          <cell r="D23" t="str">
            <v>Rent</v>
          </cell>
        </row>
        <row r="24">
          <cell r="C24" t="str">
            <v>Výroba</v>
          </cell>
          <cell r="D24" t="str">
            <v>Production</v>
          </cell>
        </row>
        <row r="25">
          <cell r="C25" t="str">
            <v>Voda vyčištěná (vlastní ČOV)</v>
          </cell>
          <cell r="D25" t="str">
            <v>Volume treated by own WWTP</v>
          </cell>
        </row>
        <row r="26">
          <cell r="C26" t="str">
            <v>Voda vyčištěná (jiná ČOV)</v>
          </cell>
          <cell r="D26" t="str">
            <v>Volume treated by other WWTP</v>
          </cell>
        </row>
        <row r="27">
          <cell r="C27" t="str">
            <v>Objem vody vyčištěné</v>
          </cell>
          <cell r="D27" t="str">
            <v>Total volume treated</v>
          </cell>
        </row>
        <row r="28">
          <cell r="C28" t="str">
            <v xml:space="preserve"> - objem vody vyrobené</v>
          </cell>
          <cell r="D28" t="str">
            <v xml:space="preserve"> - volume produced</v>
          </cell>
        </row>
        <row r="29">
          <cell r="C29" t="str">
            <v xml:space="preserve"> - objem vody převzaté</v>
          </cell>
          <cell r="D29" t="str">
            <v xml:space="preserve"> - volume purchased in bulk</v>
          </cell>
        </row>
        <row r="30">
          <cell r="C30" t="str">
            <v xml:space="preserve"> - objem vody předané</v>
          </cell>
          <cell r="D30" t="str">
            <v xml:space="preserve"> - volume sold in bulk</v>
          </cell>
        </row>
        <row r="31">
          <cell r="C31" t="str">
            <v>Voda k realizaci</v>
          </cell>
          <cell r="D31" t="str">
            <v>Total input water</v>
          </cell>
        </row>
        <row r="32">
          <cell r="C32" t="str">
            <v>Objem vody dodané</v>
          </cell>
          <cell r="D32" t="str">
            <v>Volumes supplied</v>
          </cell>
        </row>
        <row r="33">
          <cell r="C33" t="str">
            <v xml:space="preserve"> - domácnosti</v>
          </cell>
          <cell r="D33" t="str">
            <v xml:space="preserve"> - households</v>
          </cell>
        </row>
        <row r="34">
          <cell r="C34" t="str">
            <v xml:space="preserve"> - ostatní</v>
          </cell>
          <cell r="D34" t="str">
            <v xml:space="preserve"> - non-households</v>
          </cell>
        </row>
        <row r="35">
          <cell r="C35" t="str">
            <v>(včetně dešťové)</v>
          </cell>
          <cell r="D35" t="str">
            <v>(rainwater included)</v>
          </cell>
        </row>
        <row r="36">
          <cell r="C36" t="str">
            <v>Objem vody dodané - celkem</v>
          </cell>
          <cell r="D36" t="str">
            <v>Total volume supplied</v>
          </cell>
        </row>
        <row r="37">
          <cell r="C37" t="str">
            <v>Objem vody odvedené</v>
          </cell>
          <cell r="D37" t="str">
            <v>Volume collected</v>
          </cell>
        </row>
        <row r="38">
          <cell r="C38" t="str">
            <v>Voda odpadní odváděná fakturovatelná</v>
          </cell>
          <cell r="D38" t="str">
            <v>Wastewater collected and billed</v>
          </cell>
        </row>
        <row r="39">
          <cell r="C39" t="str">
            <v>Úspěšnost výběru pohledávek</v>
          </cell>
          <cell r="D39" t="str">
            <v>Collection Rate</v>
          </cell>
        </row>
        <row r="40">
          <cell r="C40" t="str">
            <v>Vstupní ReHoM</v>
          </cell>
          <cell r="D40" t="str">
            <v>Initial RAB</v>
          </cell>
        </row>
        <row r="41">
          <cell r="C41" t="str">
            <v>Infrastrukturní majetek</v>
          </cell>
          <cell r="D41" t="str">
            <v>Infrastructure assets</v>
          </cell>
        </row>
        <row r="42">
          <cell r="C42" t="str">
            <v>Provozní majetek</v>
          </cell>
          <cell r="D42" t="str">
            <v>Operational assets</v>
          </cell>
        </row>
        <row r="43">
          <cell r="C43" t="str">
            <v>Účetní odpisy stávajícího majetku</v>
          </cell>
          <cell r="D43" t="str">
            <v>Accounting depreciation for existing assets</v>
          </cell>
        </row>
        <row r="44">
          <cell r="C44" t="str">
            <v>Odpisy infrastrukturního majetku</v>
          </cell>
          <cell r="D44" t="str">
            <v>Depreciation of infrastructure assets</v>
          </cell>
        </row>
        <row r="45">
          <cell r="C45" t="str">
            <v>Odpisy provozního majetku</v>
          </cell>
          <cell r="D45" t="str">
            <v>Depreciation of operartional assets</v>
          </cell>
        </row>
        <row r="46">
          <cell r="C46" t="str">
            <v>Regulatorní odpisy stávajícího majetku</v>
          </cell>
          <cell r="D46" t="str">
            <v>Regulatory depreciation for existing assets</v>
          </cell>
        </row>
        <row r="47">
          <cell r="C47" t="str">
            <v>Investiční náklady</v>
          </cell>
          <cell r="D47" t="str">
            <v>Capex</v>
          </cell>
        </row>
        <row r="48">
          <cell r="C48" t="str">
            <v>Odpisy plánovaných investic</v>
          </cell>
          <cell r="D48" t="str">
            <v>Depreciation for planned capex</v>
          </cell>
        </row>
        <row r="49">
          <cell r="C49" t="str">
            <v>(za celou společnost)</v>
          </cell>
          <cell r="D49" t="str">
            <v>(whole company)</v>
          </cell>
        </row>
        <row r="50">
          <cell r="C50" t="str">
            <v xml:space="preserve"> jako % vstupní ceny</v>
          </cell>
          <cell r="D50" t="str">
            <v xml:space="preserve"> as % of original Capex</v>
          </cell>
        </row>
        <row r="51">
          <cell r="C51" t="str">
            <v>Přidělení provozního majetku na danou službu</v>
          </cell>
          <cell r="D51" t="str">
            <v>Apportionment of operational assets to contract</v>
          </cell>
        </row>
        <row r="52">
          <cell r="C52" t="str">
            <v>Odprodej majetku</v>
          </cell>
          <cell r="D52" t="str">
            <v>Asset disposals</v>
          </cell>
        </row>
        <row r="53">
          <cell r="C53" t="str">
            <v>Zásoby</v>
          </cell>
          <cell r="D53" t="str">
            <v>Inventory</v>
          </cell>
        </row>
        <row r="54">
          <cell r="C54" t="str">
            <v>Zbývající předplacené nájemné</v>
          </cell>
          <cell r="D54" t="str">
            <v>Outstanding pre-paid rent and loans</v>
          </cell>
        </row>
        <row r="55">
          <cell r="C55" t="str">
            <v>Zbývající Očekávání</v>
          </cell>
          <cell r="D55" t="str">
            <v>Outstanding Expectations</v>
          </cell>
        </row>
        <row r="56">
          <cell r="C56" t="str">
            <v>Provozní náklady</v>
          </cell>
          <cell r="D56" t="str">
            <v>Opex</v>
          </cell>
        </row>
        <row r="57">
          <cell r="C57" t="str">
            <v>1. Materiál</v>
          </cell>
          <cell r="D57" t="str">
            <v>1. Material</v>
          </cell>
        </row>
        <row r="58">
          <cell r="C58" t="str">
            <v>1.1 surová voda podzemní + povrchová</v>
          </cell>
          <cell r="D58" t="str">
            <v>1.1 raw water - surface and groundwater</v>
          </cell>
        </row>
        <row r="59">
          <cell r="C59" t="str">
            <v>1.2 pitná voda převzatá + odpadní voda předaná k čištění</v>
          </cell>
          <cell r="D59" t="str">
            <v xml:space="preserve">1.2 drinking water purchased in bulk and wastewater </v>
          </cell>
        </row>
        <row r="60">
          <cell r="C60" t="str">
            <v>1.3 chemikálie</v>
          </cell>
          <cell r="D60" t="str">
            <v>1.3 chemicals</v>
          </cell>
        </row>
        <row r="61">
          <cell r="C61" t="str">
            <v>1.4 ostatní materiál</v>
          </cell>
          <cell r="D61" t="str">
            <v>1.4 other material</v>
          </cell>
        </row>
        <row r="62">
          <cell r="C62" t="str">
            <v>2. Energie</v>
          </cell>
          <cell r="D62" t="str">
            <v>2. Energy</v>
          </cell>
        </row>
        <row r="63">
          <cell r="C63" t="str">
            <v>2.1 elektrická energie</v>
          </cell>
          <cell r="D63" t="str">
            <v>2.1 electrical energy</v>
          </cell>
        </row>
        <row r="64">
          <cell r="C64" t="str">
            <v>2.2 ostatní energie (plyn, pevná a kapalná paliva)</v>
          </cell>
          <cell r="D64" t="str">
            <v>2.2 other energy (gaseous, solid and liquid fuels)</v>
          </cell>
        </row>
        <row r="65">
          <cell r="C65" t="str">
            <v>3. Mzdy</v>
          </cell>
          <cell r="D65" t="str">
            <v>3. Wages</v>
          </cell>
        </row>
        <row r="66">
          <cell r="C66" t="str">
            <v>3.1 přímé mzdy</v>
          </cell>
          <cell r="D66" t="str">
            <v>3.1 direct wages</v>
          </cell>
        </row>
        <row r="67">
          <cell r="C67" t="str">
            <v>3.2 ostatní osobní náklady</v>
          </cell>
          <cell r="D67" t="str">
            <v>3.2 other staff costs</v>
          </cell>
        </row>
        <row r="68">
          <cell r="C68" t="str">
            <v>4. Ostatní přímé náklady</v>
          </cell>
          <cell r="D68" t="str">
            <v>4. Other direct costs</v>
          </cell>
        </row>
        <row r="69">
          <cell r="C69" t="str">
            <v>4.1 odpisy a prostředky obnovy infrastrukturního majetku - pouze historické údaje!</v>
          </cell>
          <cell r="D69" t="str">
            <v>4.1 depreciation charges and funds for the renewal of infrastructural assets - historical data only!</v>
          </cell>
        </row>
        <row r="70">
          <cell r="C70" t="str">
            <v>4.2a opravy infrastrukturního majetku - havarijní</v>
          </cell>
          <cell r="D70" t="str">
            <v>4.2a repairs to infrastructural assets - emergency</v>
          </cell>
        </row>
        <row r="71">
          <cell r="C71" t="str">
            <v>4.2b opravy infrastrukturního majetku - obnovující</v>
          </cell>
          <cell r="D71" t="str">
            <v>4.2b repairs to infrastructural assets - renewal</v>
          </cell>
        </row>
        <row r="72">
          <cell r="C72" t="str">
            <v>4.3 nájem infrastrukturního majetku - pouze historické údaje!</v>
          </cell>
          <cell r="D72" t="str">
            <v>4.3 rental of infrastructural assets - historical data only!</v>
          </cell>
        </row>
        <row r="73">
          <cell r="C73" t="str">
            <v>4.4 poplatky za vypouštění odpadních vod</v>
          </cell>
          <cell r="D73" t="str">
            <v>4.4 wastewater discharge fees</v>
          </cell>
        </row>
        <row r="74">
          <cell r="C74" t="str">
            <v>4.5 ostatní provozní náklady externí</v>
          </cell>
          <cell r="D74" t="str">
            <v>4.5 other operating costs - external</v>
          </cell>
        </row>
        <row r="75">
          <cell r="C75" t="str">
            <v>4.6 ostatní provozní náklady ve vlastní režii</v>
          </cell>
          <cell r="D75" t="str">
            <v>4.6 other own operating costs</v>
          </cell>
        </row>
        <row r="76">
          <cell r="C76" t="str">
            <v>5. Finanční náklady</v>
          </cell>
          <cell r="D76" t="str">
            <v>5. Financial costs - historical data only!</v>
          </cell>
        </row>
        <row r="77">
          <cell r="C77" t="str">
            <v>6. Výrobní režie</v>
          </cell>
          <cell r="D77" t="str">
            <v>6. Production overheads</v>
          </cell>
        </row>
        <row r="78">
          <cell r="C78" t="str">
            <v>z toho odpisy</v>
          </cell>
          <cell r="D78" t="str">
            <v>of which depreciation</v>
          </cell>
        </row>
        <row r="79">
          <cell r="C79" t="str">
            <v>7. Správní režie</v>
          </cell>
          <cell r="D79" t="str">
            <v>7. Administrative overheads</v>
          </cell>
        </row>
        <row r="80">
          <cell r="C80" t="str">
            <v>Celkové vlastní náklady dle kalkulace</v>
          </cell>
          <cell r="D80" t="str">
            <v>Total own costs following calculation</v>
          </cell>
        </row>
        <row r="81">
          <cell r="C81" t="str">
            <v>Celkové vlastní náklady kromě odpisů, nájemného a finančních nákladů</v>
          </cell>
          <cell r="D81" t="str">
            <v>Total own costs excluding depreciation, rent paid to asset owner and financial costs</v>
          </cell>
        </row>
        <row r="82">
          <cell r="C82" t="str">
            <v>Daň z příjmu právnických osob</v>
          </cell>
          <cell r="D82" t="str">
            <v>Corporation tax</v>
          </cell>
        </row>
        <row r="83">
          <cell r="C83" t="str">
            <v>tis. Kč</v>
          </cell>
          <cell r="D83" t="str">
            <v>thou. CZK</v>
          </cell>
        </row>
        <row r="84">
          <cell r="C84" t="str">
            <v>tis. m3/rok</v>
          </cell>
          <cell r="D84" t="str">
            <v>thou. m3/yr</v>
          </cell>
        </row>
        <row r="85">
          <cell r="C85" t="str">
            <v>roky</v>
          </cell>
          <cell r="D85" t="str">
            <v>yr.</v>
          </cell>
        </row>
        <row r="86">
          <cell r="C86" t="str">
            <v>Pracovní kapitál</v>
          </cell>
          <cell r="D86" t="str">
            <v>Working capital</v>
          </cell>
        </row>
        <row r="87">
          <cell r="C87" t="str">
            <v>Očekávání</v>
          </cell>
          <cell r="D87" t="str">
            <v>Expectations</v>
          </cell>
        </row>
        <row r="88">
          <cell r="C88" t="str">
            <v>ReHoK celkem</v>
          </cell>
          <cell r="D88" t="str">
            <v>Total RCV</v>
          </cell>
        </row>
        <row r="89">
          <cell r="C89" t="str">
            <v xml:space="preserve">Požadovaný příjem </v>
          </cell>
          <cell r="D89" t="str">
            <v>Required revenue</v>
          </cell>
        </row>
        <row r="90">
          <cell r="C90" t="str">
            <v>Odpisy - nominální</v>
          </cell>
          <cell r="D90" t="str">
            <v>Depreciation - nominal</v>
          </cell>
        </row>
        <row r="91">
          <cell r="C91" t="str">
            <v>Úprava odpisů o inflaci</v>
          </cell>
          <cell r="D91" t="str">
            <v>Depreciation adjustment for real</v>
          </cell>
        </row>
        <row r="92">
          <cell r="C92" t="str">
            <v>Výnos z ReHoK bez Očekávání</v>
          </cell>
          <cell r="D92" t="str">
            <v>Return on RCV w/o Expectations</v>
          </cell>
        </row>
        <row r="93">
          <cell r="C93" t="str">
            <v>Návratnost Očekávání</v>
          </cell>
          <cell r="D93" t="str">
            <v>Return of Expectations</v>
          </cell>
        </row>
        <row r="94">
          <cell r="C94" t="str">
            <v>Výnos z Očekávání</v>
          </cell>
          <cell r="D94" t="str">
            <v>Return on Expectations</v>
          </cell>
        </row>
        <row r="95">
          <cell r="C95" t="str">
            <v>Celkový Požadovaný příjem</v>
          </cell>
          <cell r="D95" t="str">
            <v>Total required revenue</v>
          </cell>
        </row>
        <row r="96">
          <cell r="C96" t="str">
            <v>Průměrná reálná cena založená na Požadovaném příjmu</v>
          </cell>
          <cell r="D96" t="str">
            <v>Average real price based on required revenue</v>
          </cell>
        </row>
        <row r="97">
          <cell r="C97" t="str">
            <v>Průměrná nomin. cena založená na Požadovaném příjmu</v>
          </cell>
          <cell r="D97" t="str">
            <v>Average nominal price based on required revenue</v>
          </cell>
        </row>
        <row r="98">
          <cell r="C98" t="str">
            <v>POVOLENÝ PŘÍJEM (pokud je relevantní)</v>
          </cell>
          <cell r="D98" t="str">
            <v>ALLOWED REVENUE (if relevant)</v>
          </cell>
        </row>
        <row r="99">
          <cell r="C99" t="str">
            <v>Průměrná reálná cena založená na Povoleném příjmu</v>
          </cell>
          <cell r="D99" t="str">
            <v>Average real price based on allowed revenue</v>
          </cell>
        </row>
        <row r="100">
          <cell r="C100" t="str">
            <v>Průměrná nominální cena založená na Povoleném příjmu</v>
          </cell>
          <cell r="D100" t="str">
            <v>Average nominal price based on allowed revenue</v>
          </cell>
        </row>
        <row r="101">
          <cell r="C101" t="str">
            <v>Kč/m3</v>
          </cell>
          <cell r="D101" t="str">
            <v>CZK/m3</v>
          </cell>
        </row>
        <row r="102">
          <cell r="C102" t="str">
            <v>Počáteční hodnota</v>
          </cell>
          <cell r="D102" t="str">
            <v>Opening value</v>
          </cell>
        </row>
        <row r="103">
          <cell r="C103" t="str">
            <v>Odpisy</v>
          </cell>
          <cell r="D103" t="str">
            <v>Depreciation</v>
          </cell>
        </row>
        <row r="104">
          <cell r="C104" t="str">
            <v>Odprodej</v>
          </cell>
          <cell r="D104" t="str">
            <v>Disposals</v>
          </cell>
        </row>
        <row r="105">
          <cell r="C105" t="str">
            <v>Investice</v>
          </cell>
          <cell r="D105" t="str">
            <v>New Investments</v>
          </cell>
        </row>
        <row r="106">
          <cell r="C106" t="str">
            <v>Odpisy investic</v>
          </cell>
          <cell r="D106" t="str">
            <v>Depriciation of investments</v>
          </cell>
        </row>
        <row r="107">
          <cell r="C107" t="str">
            <v>Konečná hodnota</v>
          </cell>
          <cell r="D107" t="str">
            <v>Closing value</v>
          </cell>
        </row>
        <row r="108">
          <cell r="C108" t="str">
            <v>Pracovní kapitál do budoucna</v>
          </cell>
          <cell r="D108" t="str">
            <v>Forecast Working Capital</v>
          </cell>
        </row>
        <row r="109">
          <cell r="C109" t="str">
            <v>Odhad obratu pro danou službu</v>
          </cell>
          <cell r="D109" t="str">
            <v>Forecast turnover for given contract</v>
          </cell>
        </row>
        <row r="110">
          <cell r="C110" t="str">
            <v>Odhad provozních nákladů pro danou službu</v>
          </cell>
          <cell r="D110" t="str">
            <v>Forecast operating costs for given contract</v>
          </cell>
        </row>
        <row r="111">
          <cell r="C111" t="str">
            <v>Zásoby vztahující se k dané službě</v>
          </cell>
          <cell r="D111" t="str">
            <v>Inventory employed for given service</v>
          </cell>
        </row>
        <row r="112">
          <cell r="C112" t="str">
            <v>Částečná potřeba Pracovního kapitálu</v>
          </cell>
          <cell r="D112" t="str">
            <v>Part of Working capital needs</v>
          </cell>
        </row>
        <row r="113">
          <cell r="C113" t="str">
            <v>Provozní - účetní odpisy v reálných cenách</v>
          </cell>
          <cell r="D113" t="str">
            <v>Operational - accounting depreciation in real prices</v>
          </cell>
        </row>
        <row r="114">
          <cell r="C114" t="str">
            <v>Infrastrukturní - účetní odpisy v reálných cenách</v>
          </cell>
          <cell r="D114" t="str">
            <v>Infrastructure - accounting depreciation in real prices</v>
          </cell>
        </row>
        <row r="115">
          <cell r="C115" t="str">
            <v>Reálné odpisy</v>
          </cell>
          <cell r="D115" t="str">
            <v>Real depreciation</v>
          </cell>
        </row>
        <row r="116">
          <cell r="C116" t="str">
            <v>Úprava o inflaci</v>
          </cell>
          <cell r="D116" t="str">
            <v>Adjustment for real</v>
          </cell>
        </row>
        <row r="117">
          <cell r="C117" t="str">
            <v xml:space="preserve"> - výnos z Očekávání</v>
          </cell>
          <cell r="D117" t="str">
            <v xml:space="preserve"> - return on Expectations</v>
          </cell>
        </row>
        <row r="118">
          <cell r="C118" t="str">
            <v xml:space="preserve"> - návratnost Očekávání</v>
          </cell>
          <cell r="D118" t="str">
            <v xml:space="preserve"> - return of Expectations</v>
          </cell>
        </row>
        <row r="119">
          <cell r="C119" t="str">
            <v xml:space="preserve"> - výnos a návratnost z Očekávání</v>
          </cell>
          <cell r="D119" t="str">
            <v xml:space="preserve"> - return on and of Expectations</v>
          </cell>
        </row>
        <row r="120">
          <cell r="C120" t="str">
            <v>výpočty</v>
          </cell>
          <cell r="D120" t="str">
            <v>calculation</v>
          </cell>
        </row>
        <row r="121">
          <cell r="C121" t="str">
            <v>Index růstu cen</v>
          </cell>
          <cell r="D121" t="str">
            <v>Index for tariff increas</v>
          </cell>
        </row>
        <row r="122">
          <cell r="C122" t="str">
            <v>Diskontovaný objem produkce indexovaný cenovým růstem</v>
          </cell>
          <cell r="D122" t="str">
            <v>Indexed discounted receivable production</v>
          </cell>
        </row>
        <row r="123">
          <cell r="C123" t="str">
            <v>Cena</v>
          </cell>
          <cell r="D123" t="str">
            <v>Annual water tariff</v>
          </cell>
        </row>
        <row r="124">
          <cell r="C124" t="str">
            <v>Přepínače</v>
          </cell>
          <cell r="D124" t="str">
            <v>Switches</v>
          </cell>
        </row>
        <row r="125">
          <cell r="C125" t="str">
            <v>Nájemné</v>
          </cell>
          <cell r="D125" t="str">
            <v>Rent</v>
          </cell>
        </row>
        <row r="126">
          <cell r="C126" t="str">
            <v>Vodné</v>
          </cell>
          <cell r="D126" t="str">
            <v>Drinking water</v>
          </cell>
        </row>
        <row r="127">
          <cell r="C127" t="str">
            <v>Stočné</v>
          </cell>
          <cell r="D127" t="str">
            <v>Wastewater</v>
          </cell>
        </row>
        <row r="128">
          <cell r="C128" t="str">
            <v>Investiční výdaje dle Plánu financování obnovy</v>
          </cell>
          <cell r="D128" t="str">
            <v>Investments from Asset Renewal Plan</v>
          </cell>
        </row>
        <row r="129">
          <cell r="C129" t="str">
            <v>Finanční potřeba vlastníka</v>
          </cell>
          <cell r="D129" t="str">
            <v>Owner's financial needs</v>
          </cell>
        </row>
        <row r="130">
          <cell r="C130" t="str">
            <v>Provozní náklady vlastníka</v>
          </cell>
          <cell r="D130" t="str">
            <v>Owner's opex</v>
          </cell>
        </row>
        <row r="131">
          <cell r="C131" t="str">
            <v>Celková dluhová služba vlastníka</v>
          </cell>
          <cell r="D131" t="str">
            <v>Owner's total debt service payments</v>
          </cell>
        </row>
        <row r="132">
          <cell r="C132" t="str">
            <v xml:space="preserve"> z toho jistina</v>
          </cell>
          <cell r="D132" t="str">
            <v xml:space="preserve"> of which principal</v>
          </cell>
        </row>
        <row r="133">
          <cell r="C133" t="str">
            <v xml:space="preserve"> z toho úroky</v>
          </cell>
          <cell r="D133" t="str">
            <v xml:space="preserve"> of which interest</v>
          </cell>
        </row>
        <row r="134">
          <cell r="C134" t="str">
            <v>Očekávané daňové povinnosti vlastníka</v>
          </cell>
          <cell r="D134" t="str">
            <v>Owner's expected tax obligations</v>
          </cell>
        </row>
        <row r="135">
          <cell r="C135" t="str">
            <v>Smluvní investice ze strany provozovatele</v>
          </cell>
          <cell r="D135" t="str">
            <v>Operator's investment in infrastructure assets</v>
          </cell>
        </row>
        <row r="136">
          <cell r="C136" t="str">
            <v>Financováno z dotací</v>
          </cell>
          <cell r="D136" t="str">
            <v>Grant finance</v>
          </cell>
        </row>
        <row r="137">
          <cell r="C137" t="str">
            <v>Financováno z úvěru</v>
          </cell>
          <cell r="D137" t="str">
            <v>Debt finance</v>
          </cell>
        </row>
        <row r="138">
          <cell r="C138" t="str">
            <v>Potřeba vlastních zdrojů na obnovu a rozšíření</v>
          </cell>
          <cell r="D138" t="str">
            <v>Financed from own sources</v>
          </cell>
        </row>
        <row r="139">
          <cell r="C139" t="str">
            <v>Investiční výdaje na nové investice nad obnovu</v>
          </cell>
          <cell r="D139" t="str">
            <v>Investments over renewal plan</v>
          </cell>
        </row>
        <row r="140">
          <cell r="C140" t="str">
            <v>Celková roční potřeba vlastních zdrojů</v>
          </cell>
          <cell r="D140" t="str">
            <v>Total annual need of own sources</v>
          </cell>
        </row>
        <row r="141">
          <cell r="C141" t="str">
            <v>Příjem vlastníka</v>
          </cell>
          <cell r="D141" t="str">
            <v>Owner's revenue</v>
          </cell>
        </row>
        <row r="142">
          <cell r="C142" t="str">
            <v>Nájem z vodného</v>
          </cell>
          <cell r="D142" t="str">
            <v xml:space="preserve">Drinking water rent </v>
          </cell>
        </row>
        <row r="143">
          <cell r="C143" t="str">
            <v>Nájem ze stočného</v>
          </cell>
          <cell r="D143" t="str">
            <v xml:space="preserve">Wastewater rent </v>
          </cell>
        </row>
        <row r="144">
          <cell r="C144" t="str">
            <v>Celkem</v>
          </cell>
          <cell r="D144" t="str">
            <v>Total</v>
          </cell>
        </row>
        <row r="145">
          <cell r="C145" t="str">
            <v>Roční potřeba vlastních zdrojů na vodné</v>
          </cell>
          <cell r="D145" t="str">
            <v>Annual requirement for own sources - DW</v>
          </cell>
        </row>
        <row r="146">
          <cell r="C146" t="str">
            <v>Roční potřeba vlastních zdrojů na stočné</v>
          </cell>
          <cell r="D146" t="str">
            <v>Annual requirement for own sources - WW</v>
          </cell>
        </row>
        <row r="147">
          <cell r="C147" t="str">
            <v>Příspěvek vlastníka</v>
          </cell>
          <cell r="D147" t="str">
            <v>Owner's contribution</v>
          </cell>
        </row>
        <row r="148">
          <cell r="C148" t="str">
            <v>Stav účtu hotovosti vlastníka ke konci roku</v>
          </cell>
          <cell r="D148" t="str">
            <v>State of owner's cash balance at start of year</v>
          </cell>
        </row>
        <row r="149">
          <cell r="C149" t="str">
            <v>ÚČET HOTOVOSTI VLASTNÍKA</v>
          </cell>
          <cell r="D149" t="str">
            <v>OWNER'S CASH BALANCE</v>
          </cell>
        </row>
        <row r="150">
          <cell r="C150" t="str">
            <v>Nájemné plus příspěvek vlastníka mínus výdaje</v>
          </cell>
          <cell r="D150" t="str">
            <v>Rent plus owner's contribution minus expenditure</v>
          </cell>
        </row>
        <row r="151">
          <cell r="C151" t="str">
            <v>(vybraná varianta)</v>
          </cell>
          <cell r="D151" t="str">
            <v>(chosen alternative)</v>
          </cell>
        </row>
        <row r="152">
          <cell r="C152" t="str">
            <v>Zbývající prvky ReHoK</v>
          </cell>
          <cell r="D152" t="str">
            <v>The rest of RCV elements</v>
          </cell>
        </row>
        <row r="153">
          <cell r="C153" t="str">
            <v>sazba</v>
          </cell>
          <cell r="D153" t="str">
            <v>rate</v>
          </cell>
        </row>
        <row r="154">
          <cell r="C154" t="str">
            <v>Základ</v>
          </cell>
          <cell r="D154" t="str">
            <v>Base</v>
          </cell>
        </row>
        <row r="155">
          <cell r="C155" t="str">
            <v>VÝSTUPY ZA OBĚ SLOŽKY DOHROMADY</v>
          </cell>
          <cell r="D155" t="str">
            <v>TOTAL OUTPUTS</v>
          </cell>
        </row>
        <row r="156">
          <cell r="C156" t="str">
            <v xml:space="preserve"> celkem</v>
          </cell>
          <cell r="D156" t="str">
            <v xml:space="preserve"> total</v>
          </cell>
        </row>
        <row r="157">
          <cell r="C157" t="str">
            <v>Bílý text v buňkách těchto barev naznačuje vstupní údaj</v>
          </cell>
          <cell r="D157" t="str">
            <v>White text in cells of these colours indicates input data</v>
          </cell>
        </row>
        <row r="158">
          <cell r="C158" t="str">
            <v>Jakýkoliv text v buňkách těchto barev je vstupní údaj</v>
          </cell>
          <cell r="D158" t="str">
            <v>Any text in cells of these colours indicates input data</v>
          </cell>
        </row>
        <row r="159">
          <cell r="C159" t="str">
            <v>bez PK</v>
          </cell>
          <cell r="D159" t="str">
            <v>w/o WC</v>
          </cell>
        </row>
        <row r="160">
          <cell r="C160" t="str">
            <v>Úprava Pož. příjmu o PK</v>
          </cell>
          <cell r="D160" t="str">
            <v>Modified Req. revenue by WC</v>
          </cell>
        </row>
        <row r="161">
          <cell r="C161" t="str">
            <v>příjmová část PK</v>
          </cell>
          <cell r="D161" t="str">
            <v>active WC</v>
          </cell>
        </row>
        <row r="162">
          <cell r="C162" t="str">
            <v>bez příjmové části</v>
          </cell>
          <cell r="D162" t="str">
            <v>w/o active part</v>
          </cell>
        </row>
        <row r="163">
          <cell r="C163" t="str">
            <v>a</v>
          </cell>
          <cell r="D163" t="str">
            <v>and</v>
          </cell>
        </row>
        <row r="164">
          <cell r="C164" t="str">
            <v>PK</v>
          </cell>
          <cell r="D164" t="str">
            <v>WC</v>
          </cell>
        </row>
        <row r="165">
          <cell r="C165" t="str">
            <v>uskutečněných v roce</v>
          </cell>
          <cell r="D165" t="str">
            <v>originating in</v>
          </cell>
        </row>
        <row r="166">
          <cell r="C166" t="str">
            <v>spočítaná</v>
          </cell>
          <cell r="D166" t="str">
            <v>calculated</v>
          </cell>
        </row>
        <row r="167">
          <cell r="C167" t="str">
            <v>uživatelský vstup</v>
          </cell>
          <cell r="D167" t="str">
            <v>user input</v>
          </cell>
        </row>
        <row r="168">
          <cell r="C168" t="str">
            <v>Výše požadovaných cen</v>
          </cell>
          <cell r="D168" t="str">
            <v>Predetermined tariff</v>
          </cell>
        </row>
        <row r="169">
          <cell r="C169" t="str">
            <v>stálé ceny</v>
          </cell>
          <cell r="D169" t="str">
            <v>constant prices</v>
          </cell>
        </row>
        <row r="170">
          <cell r="C170" t="str">
            <v>běžné ceny</v>
          </cell>
          <cell r="D170" t="str">
            <v>current prices</v>
          </cell>
        </row>
        <row r="171">
          <cell r="C171" t="str">
            <v>Nájemné dle stanovené ceny</v>
          </cell>
          <cell r="D171" t="str">
            <v>Rental payment required for desired tariff</v>
          </cell>
        </row>
        <row r="172">
          <cell r="C172" t="str">
            <v>Možnost vzdát se zisku</v>
          </cell>
          <cell r="D172" t="str">
            <v>Voluntary giving up of profit</v>
          </cell>
        </row>
        <row r="173">
          <cell r="C173" t="str">
            <v>Horní hranice odpočtu</v>
          </cell>
          <cell r="D173" t="str">
            <v>Maximum of giving up</v>
          </cell>
        </row>
        <row r="174">
          <cell r="C174" t="str">
            <v>Vzdát se zisku ve výši:</v>
          </cell>
          <cell r="D174" t="str">
            <v>Give up of profit:</v>
          </cell>
        </row>
        <row r="175">
          <cell r="C175" t="str">
            <v>SOUHRN</v>
          </cell>
          <cell r="D175" t="str">
            <v>SUMMARY</v>
          </cell>
        </row>
        <row r="176">
          <cell r="C176" t="str">
            <v>po vzdání se zisku</v>
          </cell>
          <cell r="D176" t="str">
            <v>after giving up of profit</v>
          </cell>
        </row>
        <row r="177">
          <cell r="C177" t="str">
            <v>Nájemné koresponduje s cenami</v>
          </cell>
          <cell r="D177" t="str">
            <v>Rent calculated by desired tariff - OK</v>
          </cell>
        </row>
        <row r="178">
          <cell r="C178" t="str">
            <v>Nutný přepočet nájemného</v>
          </cell>
          <cell r="D178" t="str">
            <v>New calculation of rent needed</v>
          </cell>
        </row>
        <row r="179">
          <cell r="C179" t="str">
            <v>Výpočet nájemného dle zadané ceny</v>
          </cell>
          <cell r="D179" t="str">
            <v>Calculation of rent by desired tariff</v>
          </cell>
        </row>
        <row r="180">
          <cell r="C180" t="str">
            <v>Nájemné - přímý uživatelský vstup</v>
          </cell>
          <cell r="D180" t="str">
            <v>Rent - direct user input</v>
          </cell>
        </row>
        <row r="181">
          <cell r="C181" t="str">
            <v>bez DPH</v>
          </cell>
          <cell r="D181" t="str">
            <v>w/o VAT</v>
          </cell>
        </row>
        <row r="182">
          <cell r="C182" t="str">
            <v>Název vlastníka</v>
          </cell>
          <cell r="D182" t="str">
            <v>Name of Owner</v>
          </cell>
        </row>
        <row r="183">
          <cell r="C183" t="str">
            <v>Název provozovatele</v>
          </cell>
          <cell r="D183" t="str">
            <v>Name of Operator</v>
          </cell>
        </row>
        <row r="184">
          <cell r="C184" t="str">
            <v>ve výchozím roce</v>
          </cell>
          <cell r="D184" t="str">
            <v>in base year</v>
          </cell>
        </row>
        <row r="185">
          <cell r="C185" t="str">
            <v>Kč / osobu</v>
          </cell>
          <cell r="D185" t="str">
            <v>CZK/person</v>
          </cell>
        </row>
        <row r="186">
          <cell r="C186" t="str">
            <v>DPH z vodného a stočného</v>
          </cell>
          <cell r="D186" t="str">
            <v>VAT on water services</v>
          </cell>
        </row>
        <row r="187">
          <cell r="C187" t="str">
            <v>l/os/den</v>
          </cell>
          <cell r="D187" t="str">
            <v>l/p/d</v>
          </cell>
        </row>
        <row r="188">
          <cell r="C188" t="str">
            <v>Fyzické ukazatele</v>
          </cell>
          <cell r="D188" t="str">
            <v>Physical indicators</v>
          </cell>
        </row>
        <row r="189">
          <cell r="C189" t="str">
            <v>Objem vody dodané - domácnosti</v>
          </cell>
          <cell r="D189" t="str">
            <v>Volume supplied - households</v>
          </cell>
        </row>
        <row r="190">
          <cell r="C190" t="str">
            <v>Objem vody dodané - ostatní</v>
          </cell>
          <cell r="D190" t="str">
            <v>Volume supplied - non-households</v>
          </cell>
        </row>
        <row r="191">
          <cell r="C191" t="str">
            <v>Voda odpadní odváděná - domácnosti</v>
          </cell>
          <cell r="D191" t="str">
            <v>Wastewater collected - households</v>
          </cell>
        </row>
        <row r="192">
          <cell r="C192" t="str">
            <v>Voda odpadní odváděná - ostatní (včetně dešťové)</v>
          </cell>
          <cell r="D192" t="str">
            <v>Wastewater collected - non-households (rainwater included)</v>
          </cell>
        </row>
        <row r="193">
          <cell r="C193" t="str">
            <v>Cena pro vodné (ve stálých cenách, vč. DPH)</v>
          </cell>
          <cell r="D193" t="str">
            <v>Water tariff (in constant prices, incl. VAT)</v>
          </cell>
        </row>
        <row r="194">
          <cell r="C194" t="str">
            <v>Cena pro stočné (ve stálých cenách, vč. DPH)</v>
          </cell>
          <cell r="D194" t="str">
            <v>Wastewater tariff (in constant prices, incl. VAT)</v>
          </cell>
        </row>
        <row r="195">
          <cell r="C195" t="str">
            <v>budoucnost</v>
          </cell>
          <cell r="D195" t="str">
            <v>future</v>
          </cell>
        </row>
        <row r="196">
          <cell r="C196" t="str">
            <v xml:space="preserve">Požadovaný příjem </v>
          </cell>
          <cell r="D196" t="str">
            <v>Required revenue</v>
          </cell>
        </row>
        <row r="197">
          <cell r="C197" t="str">
            <v>Kč</v>
          </cell>
          <cell r="D197" t="str">
            <v>CZK</v>
          </cell>
        </row>
        <row r="198">
          <cell r="C198" t="str">
            <v>Dlouhodobý deficit v nájemném této složky!</v>
          </cell>
          <cell r="D198" t="str">
            <v>Longterm deficit in rent to Owner!</v>
          </cell>
        </row>
        <row r="199">
          <cell r="C199" t="str">
            <v>Finanční náklady</v>
          </cell>
          <cell r="D199" t="str">
            <v>Financial costs</v>
          </cell>
        </row>
        <row r="200">
          <cell r="C200" t="str">
            <v>Odpisy zahrnuté do výrobní režie</v>
          </cell>
          <cell r="D200" t="str">
            <v>Depreciation included into Production overheads</v>
          </cell>
        </row>
        <row r="201">
          <cell r="C201" t="str">
            <v>Odpisy zahrnuté do správní režie</v>
          </cell>
          <cell r="D201" t="str">
            <v>Depreciation included into Administrative overheads</v>
          </cell>
        </row>
        <row r="202">
          <cell r="C202" t="str">
            <v>Hodnota infrastrukturního majetku podle VÚME</v>
          </cell>
          <cell r="D202" t="str">
            <v>Ifrastructural assets - valued by MoAg methodology</v>
          </cell>
        </row>
        <row r="203">
          <cell r="C203" t="str">
            <v>Pořizovací cena provozního majetku</v>
          </cell>
          <cell r="D203" t="str">
            <v>Purchase value of Operational assets</v>
          </cell>
        </row>
        <row r="204">
          <cell r="C204" t="str">
            <v>Počet pracovníků</v>
          </cell>
          <cell r="D204" t="str">
            <v>Number of employees</v>
          </cell>
        </row>
        <row r="205">
          <cell r="C205" t="str">
            <v>Nominální odpisy investic do provozního majetku v reálných cenách</v>
          </cell>
          <cell r="D205" t="str">
            <v>Nominal depreciation of Operational assets in real prices</v>
          </cell>
        </row>
        <row r="206">
          <cell r="C206" t="str">
            <v>Nominální odpisy investic do infra. majetku v reálných cenách</v>
          </cell>
          <cell r="D206" t="str">
            <v>Nominal depreciation of Infrastructural assets in real prices</v>
          </cell>
        </row>
        <row r="207">
          <cell r="C207" t="str">
            <v>Zisk před zdaněním, z toho</v>
          </cell>
          <cell r="D207" t="str">
            <v>Profit before taxes, including:</v>
          </cell>
        </row>
        <row r="208">
          <cell r="C208" t="str">
            <v>Přiměřený zisk jako % ÚVN</v>
          </cell>
          <cell r="D208" t="str">
            <v>Reasonable profit as % of Total costs</v>
          </cell>
        </row>
        <row r="209">
          <cell r="C209" t="str">
            <v>Dobrovolně snížený zisk jako % ÚVN</v>
          </cell>
          <cell r="D209" t="str">
            <v>Voluntarily decreased profit as  % of Total costs</v>
          </cell>
        </row>
        <row r="210">
          <cell r="C210" t="str">
            <v>Zisk ve vztahu ke Kalkulaci</v>
          </cell>
          <cell r="D210" t="str">
            <v>Profit related to Official MoAg Report</v>
          </cell>
        </row>
        <row r="211">
          <cell r="C211" t="str">
            <v>Přiměřený zisk po snížení před zdaněním</v>
          </cell>
          <cell r="D211" t="str">
            <v>Reasonable profit before tax after voluntary decrease</v>
          </cell>
        </row>
        <row r="212">
          <cell r="C212" t="str">
            <v>Potencionální zisk z titulu nikdy nevybraných pohledávek</v>
          </cell>
          <cell r="D212" t="str">
            <v>Potentional profit at 100% Collection rate</v>
          </cell>
        </row>
        <row r="213">
          <cell r="C213" t="str">
            <v>Kalkulační zisk</v>
          </cell>
          <cell r="D213" t="str">
            <v>Profit for Official MoAg Report</v>
          </cell>
        </row>
        <row r="214">
          <cell r="C214" t="str">
            <v>Kalkulační zisk jako % ÚVN</v>
          </cell>
          <cell r="D214" t="str">
            <v>Profit for Official MoAg Report as % of Totatl costs</v>
          </cell>
        </row>
        <row r="215">
          <cell r="C215" t="str">
            <v>Skutečně uhrazená produkce</v>
          </cell>
          <cell r="D215" t="str">
            <v>Receivable production</v>
          </cell>
        </row>
        <row r="216">
          <cell r="C216" t="str">
            <v>Provozní majetek - přidělený</v>
          </cell>
          <cell r="D216" t="str">
            <v>Operational assets - apportioned</v>
          </cell>
        </row>
        <row r="217">
          <cell r="C217" t="str">
            <v>% změna v ceně</v>
          </cell>
          <cell r="D217" t="str">
            <v>% change in annual tariff</v>
          </cell>
        </row>
        <row r="218">
          <cell r="C218" t="str">
            <v>v běžných cenách</v>
          </cell>
          <cell r="D218" t="str">
            <v>current prices</v>
          </cell>
        </row>
        <row r="219">
          <cell r="C219" t="str">
            <v>provozovatele</v>
          </cell>
          <cell r="D219" t="str">
            <v>of Operator</v>
          </cell>
        </row>
        <row r="220">
          <cell r="C220" t="str">
            <v>bez odpisů</v>
          </cell>
          <cell r="D220" t="str">
            <v>w/o depreciation</v>
          </cell>
        </row>
        <row r="221">
          <cell r="C221" t="str">
            <v>včetně odpisů</v>
          </cell>
          <cell r="D221" t="str">
            <v>depreciation included</v>
          </cell>
        </row>
        <row r="222">
          <cell r="C222" t="str">
            <v>k tomu odpisy</v>
          </cell>
          <cell r="D222" t="str">
            <v>plus depreciation</v>
          </cell>
        </row>
        <row r="223">
          <cell r="C223" t="str">
            <v>odhad</v>
          </cell>
          <cell r="D223" t="str">
            <v>forecast</v>
          </cell>
        </row>
        <row r="224">
          <cell r="C224" t="str">
            <v>skutečnost</v>
          </cell>
          <cell r="D224" t="str">
            <v>actual</v>
          </cell>
        </row>
        <row r="225">
          <cell r="C225" t="str">
            <v>Ex ante odhad</v>
          </cell>
          <cell r="D225" t="str">
            <v>Ex ante estimate</v>
          </cell>
        </row>
        <row r="226">
          <cell r="C226" t="str">
            <v>Index spotřebitelských cen</v>
          </cell>
          <cell r="D226" t="str">
            <v>Consumer Price Index</v>
          </cell>
        </row>
        <row r="227">
          <cell r="C227" t="str">
            <v>Index cen průmyslových výrobců</v>
          </cell>
          <cell r="D227" t="str">
            <v>Industrial Producer Price Index</v>
          </cell>
        </row>
        <row r="228">
          <cell r="C228" t="str">
            <v>Index cen elektrické energie</v>
          </cell>
          <cell r="D228" t="str">
            <v>Electricity Price Index</v>
          </cell>
        </row>
        <row r="229">
          <cell r="C229" t="str">
            <v>Složený index cen energie</v>
          </cell>
          <cell r="D229" t="str">
            <v>Composite Energy Price Index</v>
          </cell>
        </row>
        <row r="230">
          <cell r="C230" t="str">
            <v>Index cen stavebních děl - pitná voda</v>
          </cell>
          <cell r="D230" t="str">
            <v>Water sector civil works price index - DW</v>
          </cell>
        </row>
        <row r="231">
          <cell r="C231" t="str">
            <v>Index cen stavebních děl - odpadní voda</v>
          </cell>
          <cell r="D231" t="str">
            <v>Water sector civil works price index - WW</v>
          </cell>
        </row>
        <row r="232">
          <cell r="C232" t="str">
            <v>Určeno uživatelem</v>
          </cell>
          <cell r="D232" t="str">
            <v>User-defined</v>
          </cell>
        </row>
        <row r="233">
          <cell r="C233" t="str">
            <v>Indexy vztažené k výchozímu roku</v>
          </cell>
          <cell r="D233" t="str">
            <v>Indices rebased to base year</v>
          </cell>
        </row>
        <row r="234">
          <cell r="C234" t="str">
            <v>Změna stálých cen ve srovnání k úrovni výchozího roku</v>
          </cell>
          <cell r="D234" t="str">
            <v>Change in real prices compared to base year</v>
          </cell>
        </row>
        <row r="235">
          <cell r="C235" t="str">
            <v>Pásmo</v>
          </cell>
          <cell r="D235" t="str">
            <v>Band</v>
          </cell>
        </row>
        <row r="236">
          <cell r="C236" t="str">
            <v>První pásmo</v>
          </cell>
          <cell r="D236" t="str">
            <v>First band</v>
          </cell>
        </row>
        <row r="237">
          <cell r="C237" t="str">
            <v>Druhé pásmo</v>
          </cell>
          <cell r="D237" t="str">
            <v>Second band</v>
          </cell>
        </row>
        <row r="238">
          <cell r="C238" t="str">
            <v>Třetí pásmo</v>
          </cell>
          <cell r="D238" t="str">
            <v>Third band</v>
          </cell>
        </row>
        <row r="239">
          <cell r="C239" t="str">
            <v>Od</v>
          </cell>
          <cell r="D239" t="str">
            <v>Greater than</v>
          </cell>
        </row>
        <row r="240">
          <cell r="C240" t="str">
            <v>Do (včetně)</v>
          </cell>
          <cell r="D240" t="str">
            <v>Up to and including</v>
          </cell>
        </row>
        <row r="241">
          <cell r="C241" t="str">
            <v>Podíl úspor odběrateli</v>
          </cell>
          <cell r="D241" t="str">
            <v>Share of savings to Customer</v>
          </cell>
        </row>
        <row r="242">
          <cell r="C242" t="str">
            <v>Průměrný 1-roční PRIBOR</v>
          </cell>
          <cell r="D242" t="str">
            <v>Average 1-year PRIBOR</v>
          </cell>
        </row>
        <row r="243">
          <cell r="C243" t="str">
            <v>Práh použití penále</v>
          </cell>
          <cell r="D243" t="str">
            <v>Threshold for application of punitive carrying charge</v>
          </cell>
        </row>
        <row r="244">
          <cell r="C244" t="str">
            <v>Nárůst v PRIBOR základní úrokové sazby</v>
          </cell>
          <cell r="D244" t="str">
            <v>Increase in PRIBOR for basic interest rate</v>
          </cell>
        </row>
        <row r="245">
          <cell r="C245" t="str">
            <v>Zvýšení základní úrokové sazby úroků z dlužné částky</v>
          </cell>
          <cell r="D245" t="str">
            <v>Increase in basic interest rate for punitive carrying charge</v>
          </cell>
        </row>
        <row r="246">
          <cell r="C246" t="str">
            <v>Úrokové sazby</v>
          </cell>
          <cell r="D246" t="str">
            <v>Interest rates</v>
          </cell>
        </row>
        <row r="247">
          <cell r="C247" t="str">
            <v>Výběr odpovídajícího indexu</v>
          </cell>
          <cell r="D247" t="str">
            <v>Choosing of relevant index</v>
          </cell>
        </row>
        <row r="248">
          <cell r="C248" t="str">
            <v>Přiřazené indexy</v>
          </cell>
          <cell r="D248" t="str">
            <v>Relevant indices</v>
          </cell>
        </row>
        <row r="249">
          <cell r="C249" t="str">
            <v>3.1+3.2 osobní náklady</v>
          </cell>
          <cell r="D249" t="str">
            <v>3.1+3.2 staff costs</v>
          </cell>
        </row>
        <row r="250">
          <cell r="C250" t="str">
            <v>Nerelevantní</v>
          </cell>
          <cell r="D250" t="str">
            <v>Not relevant</v>
          </cell>
        </row>
        <row r="251">
          <cell r="C251" t="str">
            <v>Použitý index</v>
          </cell>
          <cell r="D251" t="str">
            <v>Index to be used (if any)</v>
          </cell>
        </row>
        <row r="252">
          <cell r="C252" t="str">
            <v>Hodnoty ex post</v>
          </cell>
          <cell r="D252" t="str">
            <v>Ex post values</v>
          </cell>
        </row>
        <row r="253">
          <cell r="C253" t="str">
            <v>'Odhad'</v>
          </cell>
          <cell r="D253" t="str">
            <v>Forecast</v>
          </cell>
        </row>
        <row r="254">
          <cell r="C254" t="str">
            <v>'Skutečnost'</v>
          </cell>
          <cell r="D254" t="str">
            <v>Actual</v>
          </cell>
        </row>
        <row r="255">
          <cell r="C255" t="str">
            <v>Investice v roce</v>
          </cell>
          <cell r="D255" t="str">
            <v>Investment in the year</v>
          </cell>
        </row>
        <row r="256">
          <cell r="C256" t="str">
            <v>Odprodej majetku v roce</v>
          </cell>
          <cell r="D256" t="str">
            <v>Disposals in the year</v>
          </cell>
        </row>
        <row r="257">
          <cell r="C257" t="str">
            <v>Odpisy investice z roku</v>
          </cell>
          <cell r="D257" t="str">
            <v>Depreciation of investment from the year</v>
          </cell>
        </row>
        <row r="258">
          <cell r="C258" t="str">
            <v>Přidělení provozního majetku na danou službu</v>
          </cell>
          <cell r="D258" t="str">
            <v>Apportionment of operational assets to contract</v>
          </cell>
        </row>
        <row r="259">
          <cell r="C259" t="str">
            <v>PITNÁ VODA</v>
          </cell>
          <cell r="D259" t="str">
            <v>DRINKING WATER</v>
          </cell>
        </row>
        <row r="260">
          <cell r="C260" t="str">
            <v>ODPADNÍ VODA</v>
          </cell>
          <cell r="D260" t="str">
            <v>WASTEWATER</v>
          </cell>
        </row>
        <row r="261">
          <cell r="C261" t="str">
            <v>Hodnota ex ante</v>
          </cell>
          <cell r="D261" t="str">
            <v>Ex ante value</v>
          </cell>
        </row>
        <row r="262">
          <cell r="C262" t="str">
            <v>Finanční model</v>
          </cell>
          <cell r="D262" t="str">
            <v>Financial model</v>
          </cell>
        </row>
        <row r="263">
          <cell r="C263" t="str">
            <v>Investice do provozního majetku</v>
          </cell>
          <cell r="D263" t="str">
            <v>Operational capex</v>
          </cell>
        </row>
        <row r="264">
          <cell r="C264" t="str">
            <v xml:space="preserve"> - odpisy</v>
          </cell>
          <cell r="D264" t="str">
            <v xml:space="preserve"> - depreciation</v>
          </cell>
        </row>
        <row r="265">
          <cell r="C265" t="str">
            <v xml:space="preserve"> - odprodej majetku</v>
          </cell>
          <cell r="D265" t="str">
            <v xml:space="preserve"> - assets sales</v>
          </cell>
        </row>
        <row r="266">
          <cell r="C266" t="str">
            <v>Investice do infrastrukturního majetku</v>
          </cell>
          <cell r="D266" t="str">
            <v>Infrastructural capex</v>
          </cell>
        </row>
        <row r="267">
          <cell r="C267" t="str">
            <v>ReHoK</v>
          </cell>
          <cell r="D267" t="str">
            <v>RCV</v>
          </cell>
        </row>
        <row r="268">
          <cell r="C268" t="str">
            <v>Předplacené nájemné</v>
          </cell>
          <cell r="D268" t="str">
            <v>Pre-paid rent</v>
          </cell>
        </row>
        <row r="269">
          <cell r="C269" t="str">
            <v>ReHoK (ke konci roku)</v>
          </cell>
          <cell r="D269" t="str">
            <v>RCV (at year end)</v>
          </cell>
        </row>
        <row r="270">
          <cell r="C270" t="str">
            <v>Odpisy - nominální</v>
          </cell>
          <cell r="D270" t="str">
            <v>Depreciation - nominal</v>
          </cell>
        </row>
        <row r="271">
          <cell r="C271" t="str">
            <v>Zisk před zdaněním, z toho</v>
          </cell>
          <cell r="D271" t="str">
            <v>Profit before taxes, including:</v>
          </cell>
        </row>
        <row r="272">
          <cell r="C272" t="str">
            <v>Úprava odpisů o inflaci</v>
          </cell>
          <cell r="D272" t="str">
            <v>Depreciation adjustment for real</v>
          </cell>
        </row>
        <row r="273">
          <cell r="C273" t="str">
            <v>Výnos z ReHoK bez Očekávání</v>
          </cell>
          <cell r="D273" t="str">
            <v>Return on RCV w/o Expectations</v>
          </cell>
        </row>
        <row r="274">
          <cell r="C274" t="str">
            <v>Návratnost Očekávání</v>
          </cell>
          <cell r="D274" t="str">
            <v>Return of Expectations</v>
          </cell>
        </row>
        <row r="275">
          <cell r="C275" t="str">
            <v>Výnos z Očekávání</v>
          </cell>
          <cell r="D275" t="str">
            <v>Return on Expectations</v>
          </cell>
        </row>
        <row r="276">
          <cell r="C276" t="str">
            <v>Daň z příjmu právnických osob</v>
          </cell>
          <cell r="D276" t="str">
            <v>Corporation tax</v>
          </cell>
        </row>
        <row r="277">
          <cell r="C277" t="str">
            <v>Průměrná reálná cena založená na Požadovaném příjmu</v>
          </cell>
          <cell r="D277" t="str">
            <v>Average real price based on required revenue</v>
          </cell>
        </row>
        <row r="278">
          <cell r="C278" t="str">
            <v>Úspěšnost výběru pohledávek</v>
          </cell>
          <cell r="D278" t="str">
            <v>Collection rate</v>
          </cell>
        </row>
        <row r="279">
          <cell r="C279" t="str">
            <v>Fixní náklady</v>
          </cell>
          <cell r="D279" t="str">
            <v>Fixed costs</v>
          </cell>
        </row>
        <row r="280">
          <cell r="C280" t="str">
            <v>Objem vody dodané</v>
          </cell>
          <cell r="D280" t="str">
            <v>Volume supplied</v>
          </cell>
        </row>
        <row r="281">
          <cell r="C281" t="str">
            <v>Hodnota psí</v>
          </cell>
          <cell r="D281" t="str">
            <v>Value of psi</v>
          </cell>
        </row>
        <row r="282">
          <cell r="C282" t="str">
            <v>Náklady dle objemu</v>
          </cell>
          <cell r="D282" t="str">
            <v>Volume related Costs</v>
          </cell>
        </row>
        <row r="283">
          <cell r="C283" t="str">
            <v>Náklady dle objemu s promítnutím  - na m3 čerpané, čištěné, vyrobené vody</v>
          </cell>
          <cell r="D283" t="str">
            <v>True pass through   - per m3 pumped, treated, produced</v>
          </cell>
        </row>
        <row r="284">
          <cell r="C284" t="str">
            <v>Náklady dle objemu indexované  - na m3 čerpané, čištěné, vyrobené vody</v>
          </cell>
          <cell r="D284" t="str">
            <v>Indexed   - per m3 pumped, treated, produced</v>
          </cell>
        </row>
        <row r="285">
          <cell r="C285" t="str">
            <v>Nová infrastruktura</v>
          </cell>
          <cell r="D285" t="str">
            <v>New infrastructure</v>
          </cell>
        </row>
        <row r="286">
          <cell r="C286" t="str">
            <v>Celkové provozní náklady</v>
          </cell>
          <cell r="D286" t="str">
            <v>Total opex</v>
          </cell>
        </row>
        <row r="287">
          <cell r="C287" t="str">
            <v>Harmonogram realizace</v>
          </cell>
          <cell r="D287" t="str">
            <v>Timeline for implementation</v>
          </cell>
        </row>
        <row r="288">
          <cell r="C288" t="str">
            <v>První - rozšíření sítě</v>
          </cell>
          <cell r="D288" t="str">
            <v>First - extension of network</v>
          </cell>
        </row>
        <row r="289">
          <cell r="C289" t="str">
            <v>nové zařízení (a odstranění starého)</v>
          </cell>
          <cell r="D289" t="str">
            <v>new object (and removal of old)</v>
          </cell>
        </row>
        <row r="290">
          <cell r="C290" t="str">
            <v>Druhý</v>
          </cell>
          <cell r="D290" t="str">
            <v>Second</v>
          </cell>
        </row>
        <row r="291">
          <cell r="C291" t="str">
            <v>Třetí</v>
          </cell>
          <cell r="D291" t="str">
            <v>Third</v>
          </cell>
        </row>
        <row r="292">
          <cell r="C292" t="str">
            <v>Čtvrtý</v>
          </cell>
          <cell r="D292" t="str">
            <v>Fourth</v>
          </cell>
        </row>
        <row r="293">
          <cell r="C293" t="str">
            <v>Rozšíření sítě</v>
          </cell>
          <cell r="D293" t="str">
            <v>Extension of network</v>
          </cell>
        </row>
        <row r="294">
          <cell r="C294" t="str">
            <v>První investiční program</v>
          </cell>
          <cell r="D294" t="str">
            <v>First Programme</v>
          </cell>
        </row>
        <row r="295">
          <cell r="C295" t="str">
            <v>Druhý investiční program</v>
          </cell>
          <cell r="D295" t="str">
            <v>Second Programme</v>
          </cell>
        </row>
        <row r="296">
          <cell r="C296" t="str">
            <v>Třetí investiční program</v>
          </cell>
          <cell r="D296" t="str">
            <v>Third Programme</v>
          </cell>
        </row>
        <row r="297">
          <cell r="C297" t="str">
            <v>Čtvrtý investiční program</v>
          </cell>
          <cell r="D297" t="str">
            <v>Fourth Programme</v>
          </cell>
        </row>
        <row r="298">
          <cell r="C298" t="str">
            <v>Počet přípojek</v>
          </cell>
          <cell r="D298" t="str">
            <v>Number of connections</v>
          </cell>
        </row>
        <row r="299">
          <cell r="C299" t="str">
            <v>současné</v>
          </cell>
          <cell r="D299" t="str">
            <v>now</v>
          </cell>
        </row>
        <row r="300">
          <cell r="C300" t="str">
            <v>nové</v>
          </cell>
          <cell r="D300" t="str">
            <v>new</v>
          </cell>
        </row>
        <row r="301">
          <cell r="C301" t="str">
            <v>Další investiční programy</v>
          </cell>
          <cell r="D301" t="str">
            <v>Other programmes</v>
          </cell>
        </row>
        <row r="302">
          <cell r="C302" t="str">
            <v>Rok zavedení ex ante přístupu</v>
          </cell>
          <cell r="D302" t="str">
            <v>First year of ex ante</v>
          </cell>
        </row>
        <row r="303">
          <cell r="C303" t="str">
            <v>Fixní náklady s počátečním vyrovnáním (dle skutečnosti)</v>
          </cell>
          <cell r="D303" t="str">
            <v>Fixed cost initial period true up</v>
          </cell>
        </row>
        <row r="304">
          <cell r="C304" t="str">
            <v>Náklady dle počtu přípojek</v>
          </cell>
          <cell r="D304" t="str">
            <v>Customer number related</v>
          </cell>
        </row>
        <row r="305">
          <cell r="C305" t="str">
            <v>na jednu přípojku</v>
          </cell>
          <cell r="D305" t="str">
            <v>per customer connection</v>
          </cell>
        </row>
        <row r="306">
          <cell r="C306" t="str">
            <v>původní</v>
          </cell>
          <cell r="D306" t="str">
            <v>old</v>
          </cell>
        </row>
        <row r="307">
          <cell r="C307" t="str">
            <v>Objem</v>
          </cell>
          <cell r="D307" t="str">
            <v>Volume</v>
          </cell>
        </row>
        <row r="308">
          <cell r="C308" t="str">
            <v>Náklady dle objemu s promítnutím  - celkem</v>
          </cell>
          <cell r="D308" t="str">
            <v>True pass through   - total</v>
          </cell>
        </row>
        <row r="309">
          <cell r="C309" t="str">
            <v>Náklady dle objemu indexované  - celkem</v>
          </cell>
          <cell r="D309" t="str">
            <v>Indexed   - total</v>
          </cell>
        </row>
        <row r="310">
          <cell r="C310" t="str">
            <v>Počet nových přípojek celkem</v>
          </cell>
          <cell r="D310" t="str">
            <v>Number of new connections total</v>
          </cell>
        </row>
        <row r="311">
          <cell r="C311" t="str">
            <v>původní infrastruktura</v>
          </cell>
          <cell r="D311" t="str">
            <v>original infrastructure</v>
          </cell>
        </row>
        <row r="312">
          <cell r="C312" t="str">
            <v>Odstranění původní infrastruktury</v>
          </cell>
          <cell r="D312" t="str">
            <v>Removal of old infrastructure</v>
          </cell>
        </row>
        <row r="313">
          <cell r="C313" t="str">
            <v>ReHoK x VaPNaK</v>
          </cell>
          <cell r="D313" t="str">
            <v>RCV x WACC</v>
          </cell>
        </row>
        <row r="314">
          <cell r="C314" t="str">
            <v>Použitá úroková míra</v>
          </cell>
          <cell r="D314" t="str">
            <v>Applicable interest rate</v>
          </cell>
        </row>
        <row r="315">
          <cell r="C315" t="str">
            <v>AR - Nájemné (1)</v>
          </cell>
          <cell r="D315" t="str">
            <v>AR - Rent (1)</v>
          </cell>
        </row>
        <row r="316">
          <cell r="C316" t="str">
            <v>(Wt-1) / (AR - Nájemné) (2/1)</v>
          </cell>
          <cell r="D316" t="str">
            <v>(Wt-1) / (AR - Rent) (2/1)</v>
          </cell>
        </row>
        <row r="317">
          <cell r="C317" t="str">
            <v>Častka měnící roční příjem</v>
          </cell>
          <cell r="D317" t="str">
            <v>Amount changing annual revenue</v>
          </cell>
        </row>
        <row r="318">
          <cell r="C318" t="str">
            <v>Hodnota bez úroků z dlužné částky</v>
          </cell>
          <cell r="D318" t="str">
            <v>Amount before carrying charge</v>
          </cell>
        </row>
        <row r="319">
          <cell r="C319" t="str">
            <v>Úroky z dlužné částky</v>
          </cell>
          <cell r="D319" t="str">
            <v>Carrying charge</v>
          </cell>
        </row>
        <row r="320">
          <cell r="C320" t="str">
            <v>Část dělených úspor fixních nákladů plynoucích Odběrateli</v>
          </cell>
          <cell r="D320" t="str">
            <v>Shared savings to be paid to Customer at 'wash up'</v>
          </cell>
        </row>
        <row r="321">
          <cell r="C321" t="str">
            <v>Celková částka měnící roční příjem v roce t+1</v>
          </cell>
          <cell r="D321" t="str">
            <v>Total change of annual revenue for year t+1</v>
          </cell>
        </row>
        <row r="322">
          <cell r="C322" t="str">
            <v>Výpočet ceny pro daný rok</v>
          </cell>
          <cell r="D322" t="str">
            <v>Tariff calculation for given year</v>
          </cell>
        </row>
        <row r="323">
          <cell r="C323" t="str">
            <v>Požadovaný příjem ex ante</v>
          </cell>
          <cell r="D323" t="str">
            <v>Ex ante revenue requirement</v>
          </cell>
        </row>
        <row r="324">
          <cell r="C324" t="str">
            <v>Nově požadovaný příjem</v>
          </cell>
          <cell r="D324" t="str">
            <v>New revenue requirement</v>
          </cell>
        </row>
        <row r="325">
          <cell r="C325" t="str">
            <v>Položka</v>
          </cell>
          <cell r="D325" t="str">
            <v>Item</v>
          </cell>
        </row>
        <row r="326">
          <cell r="C326" t="str">
            <v>Analýza</v>
          </cell>
          <cell r="D326" t="str">
            <v>Analysis</v>
          </cell>
        </row>
        <row r="327">
          <cell r="C327" t="str">
            <v>Ve stálých cenách</v>
          </cell>
          <cell r="D327" t="str">
            <v>In real terms</v>
          </cell>
        </row>
        <row r="328">
          <cell r="C328" t="str">
            <v xml:space="preserve">V běžných cenách </v>
          </cell>
          <cell r="D328" t="str">
            <v>In nominal terms</v>
          </cell>
        </row>
        <row r="329">
          <cell r="C329" t="str">
            <v>Konečné provozní náklady použité při tvorbě cen</v>
          </cell>
          <cell r="D329" t="str">
            <v>Opex finally used for price setting</v>
          </cell>
        </row>
        <row r="330">
          <cell r="C330" t="str">
            <v>Ex post kalkulace požadovaný příjem</v>
          </cell>
          <cell r="D330" t="str">
            <v>Revenue requirement for ex post calculations</v>
          </cell>
        </row>
        <row r="331">
          <cell r="C331" t="str">
            <v>'Vyrovnání dle skutečných hodnot'</v>
          </cell>
          <cell r="D331" t="str">
            <v>'Correction based on audited values (wash up)'</v>
          </cell>
        </row>
        <row r="332">
          <cell r="C332" t="str">
            <v>'Vyrovnání dle odhadu'</v>
          </cell>
          <cell r="D332" t="str">
            <v>'Correction based on re-forecast values'</v>
          </cell>
        </row>
        <row r="333">
          <cell r="C333" t="str">
            <v>Ceny</v>
          </cell>
          <cell r="D333" t="str">
            <v>Tariffs</v>
          </cell>
        </row>
        <row r="334">
          <cell r="C334" t="str">
            <v>Cena ex ante</v>
          </cell>
          <cell r="D334" t="str">
            <v>Ex ante tariff</v>
          </cell>
        </row>
        <row r="335">
          <cell r="C335" t="str">
            <v>Skutečná cena</v>
          </cell>
          <cell r="D335" t="str">
            <v>Actual tariff</v>
          </cell>
        </row>
        <row r="336">
          <cell r="C336" t="str">
            <v>STRUČNÝ SOUHRN</v>
          </cell>
          <cell r="D336" t="str">
            <v>BRIEF SUMMARY</v>
          </cell>
        </row>
        <row r="337">
          <cell r="C337" t="str">
            <v>Kalkulace úspor provozních nákladů (pouze fixní náklady)</v>
          </cell>
          <cell r="D337" t="str">
            <v>Calculation of opex savings (for fixed cost items)</v>
          </cell>
        </row>
        <row r="338">
          <cell r="C338" t="str">
            <v>Dělení užitků z úspor v nákladech</v>
          </cell>
          <cell r="D338" t="str">
            <v>Sharing of cost savings</v>
          </cell>
        </row>
        <row r="339">
          <cell r="C339" t="str">
            <v>Rok zahájení výstavby</v>
          </cell>
          <cell r="D339" t="str">
            <v>First year of implementation</v>
          </cell>
        </row>
        <row r="340">
          <cell r="C340" t="str">
            <v>Skutečné hodnoty při přezkoumání 'Skutečnost'</v>
          </cell>
          <cell r="D340" t="str">
            <v>Actual values as at 'Actual'</v>
          </cell>
        </row>
        <row r="341">
          <cell r="C341" t="str">
            <v>Fixní náklady ve výši zahrnuté do ceny</v>
          </cell>
          <cell r="D341" t="str">
            <v>Fixed costs at value generating price</v>
          </cell>
        </row>
        <row r="342">
          <cell r="C342" t="str">
            <v>Skutečné fixní provozní náklady</v>
          </cell>
          <cell r="D342" t="str">
            <v>Actual fixed costs</v>
          </cell>
        </row>
        <row r="343">
          <cell r="C343" t="str">
            <v>Celkové úspory</v>
          </cell>
          <cell r="D343" t="str">
            <v>Total savings</v>
          </cell>
        </row>
        <row r="344">
          <cell r="C344" t="str">
            <v>Celkové úspory jako % fixních nákladů</v>
          </cell>
          <cell r="D344" t="str">
            <v>Total savings as % of fixed costs</v>
          </cell>
        </row>
        <row r="345">
          <cell r="C345" t="str">
            <v>Hranice mezi prvním a druhým pásmem</v>
          </cell>
          <cell r="D345" t="str">
            <v>Border between first and second band</v>
          </cell>
        </row>
        <row r="346">
          <cell r="C346" t="str">
            <v>Hranice mezi druhým a třetím pásmem</v>
          </cell>
          <cell r="D346" t="str">
            <v>Border between second and third band</v>
          </cell>
        </row>
        <row r="347">
          <cell r="C347" t="str">
            <v>Platba Odběratelům</v>
          </cell>
          <cell r="D347" t="str">
            <v>Payment to Customers</v>
          </cell>
        </row>
        <row r="348">
          <cell r="C348" t="str">
            <v>Stávající majetek</v>
          </cell>
          <cell r="D348" t="str">
            <v>Existing assets</v>
          </cell>
        </row>
        <row r="349">
          <cell r="C349" t="str">
            <v>Regulatorní odpisy (stálé ceny výchozího roku)</v>
          </cell>
          <cell r="D349" t="str">
            <v>Regulatory depreciation (constant prices from base year)</v>
          </cell>
        </row>
        <row r="350">
          <cell r="C350" t="str">
            <v>Účetní odpisy</v>
          </cell>
          <cell r="D350" t="str">
            <v>Accounting depreciation</v>
          </cell>
        </row>
        <row r="351">
          <cell r="C351" t="str">
            <v>Nominální</v>
          </cell>
          <cell r="D351" t="str">
            <v>Nominal</v>
          </cell>
        </row>
        <row r="352">
          <cell r="C352" t="str">
            <v>Upravená hodnota VaPNaK</v>
          </cell>
          <cell r="D352" t="str">
            <v>Adjusted value of WACC</v>
          </cell>
        </row>
        <row r="353">
          <cell r="C353" t="str">
            <v>Pro rok</v>
          </cell>
          <cell r="D353" t="str">
            <v>For year</v>
          </cell>
        </row>
        <row r="354">
          <cell r="C354" t="str">
            <v>Skutečné provozní náklady</v>
          </cell>
          <cell r="D354" t="str">
            <v>Actual opex</v>
          </cell>
        </row>
        <row r="355">
          <cell r="C355" t="str">
            <v>Vyrovnávací platba</v>
          </cell>
          <cell r="D355" t="str">
            <v>Compensation payment</v>
          </cell>
        </row>
        <row r="356">
          <cell r="C356" t="str">
            <v>Ex ante hodnoty po zavedení přístupu ex ante v roce</v>
          </cell>
          <cell r="D356" t="str">
            <v>Ex ante values after ex ante approach applied in year</v>
          </cell>
        </row>
        <row r="357">
          <cell r="C357" t="str">
            <v>Zbytek systému</v>
          </cell>
          <cell r="D357" t="str">
            <v>Rest of system</v>
          </cell>
        </row>
        <row r="358">
          <cell r="C358" t="str">
            <v>Pevná složka ceny</v>
          </cell>
          <cell r="D358" t="str">
            <v>Fixed part tariff</v>
          </cell>
        </row>
        <row r="359">
          <cell r="C359" t="str">
            <v>Kategorie</v>
          </cell>
          <cell r="D359" t="str">
            <v>Categories</v>
          </cell>
        </row>
        <row r="360">
          <cell r="C360" t="str">
            <v>Pevná složka jako % příjmu</v>
          </cell>
          <cell r="D360" t="str">
            <v>Fixed part in %</v>
          </cell>
        </row>
        <row r="361">
          <cell r="C361" t="str">
            <v>Konstanty pevné složky</v>
          </cell>
          <cell r="D361" t="str">
            <v>Invariables of fixed part</v>
          </cell>
        </row>
        <row r="362">
          <cell r="C362" t="str">
            <v>Počet proměnných v kategorii</v>
          </cell>
          <cell r="D362" t="str">
            <v>Volume of variables in category</v>
          </cell>
        </row>
        <row r="363">
          <cell r="C363" t="str">
            <v>Dvousložková cena?</v>
          </cell>
          <cell r="D363" t="str">
            <v>Fixed part tariff?</v>
          </cell>
        </row>
        <row r="364">
          <cell r="C364" t="str">
            <v>Kč/rok</v>
          </cell>
          <cell r="D364" t="str">
            <v>CZK/year</v>
          </cell>
        </row>
        <row r="365">
          <cell r="C365" t="str">
            <v>Variabilní složka ceny</v>
          </cell>
          <cell r="D365" t="str">
            <v>Variable part tariff</v>
          </cell>
        </row>
        <row r="366">
          <cell r="C366" t="str">
            <v>Voda srážková fakturovaná</v>
          </cell>
          <cell r="D366" t="str">
            <v>Rainwater billed</v>
          </cell>
        </row>
        <row r="367">
          <cell r="C367" t="str">
            <v>Pitná nebo odpadní voda převzatá</v>
          </cell>
          <cell r="D367" t="str">
            <v>Drinking water and wastewater puchased in bulk</v>
          </cell>
        </row>
        <row r="368">
          <cell r="C368" t="str">
            <v>Kalkulace</v>
          </cell>
          <cell r="D368" t="str">
            <v>Submission</v>
          </cell>
        </row>
        <row r="369">
          <cell r="C369" t="str">
            <v>Procentuelní rozdělení odpisů mezi výrobní a správní režii</v>
          </cell>
          <cell r="D369" t="str">
            <v>% allocation of depreciation between Production and Administrative overheads</v>
          </cell>
        </row>
        <row r="370">
          <cell r="C370" t="str">
            <v>Pitná nebo odpadní voda předaná</v>
          </cell>
          <cell r="D370" t="str">
            <v>Drinking water and wastewater sold in bulk</v>
          </cell>
        </row>
        <row r="371">
          <cell r="C371" t="str">
            <v>Sazba DPH</v>
          </cell>
          <cell r="D371" t="str">
            <v>VAT rate</v>
          </cell>
        </row>
        <row r="372">
          <cell r="C372" t="str">
            <v>Provozní odpisy přidělené do Výrobní režie</v>
          </cell>
          <cell r="D372" t="str">
            <v>Depreciation allocated to Production overheads</v>
          </cell>
        </row>
        <row r="373">
          <cell r="C373" t="str">
            <v>Provozní odpisy přidělené do Správní režie</v>
          </cell>
          <cell r="D373" t="str">
            <v>Depreciation allocated to Administrative overheads</v>
          </cell>
        </row>
        <row r="374">
          <cell r="C374" t="str">
            <v>Hodnota infrastruktur.m.podle VÚME</v>
          </cell>
          <cell r="D374" t="str">
            <v>Infrastructural assets valued by MoAg methodology</v>
          </cell>
        </row>
        <row r="375">
          <cell r="C375" t="str">
            <v>Pořizovací cena provozního maj.</v>
          </cell>
          <cell r="D375" t="str">
            <v>Purchase price of Operational assets</v>
          </cell>
        </row>
        <row r="376">
          <cell r="C376" t="str">
            <v>Příjem z pevné složky</v>
          </cell>
          <cell r="D376" t="str">
            <v>Fixed part tariff revenue</v>
          </cell>
        </row>
        <row r="377">
          <cell r="C377" t="str">
            <v>Požadovaná cena</v>
          </cell>
          <cell r="D377" t="str">
            <v>Desired tariff</v>
          </cell>
        </row>
        <row r="378">
          <cell r="C378" t="str">
            <v>Záloha na vyrovnávací platbu</v>
          </cell>
          <cell r="D378" t="str">
            <v>Advance compensation payment</v>
          </cell>
        </row>
        <row r="379">
          <cell r="C379" t="str">
            <v>Konečná vyrovnávací platba</v>
          </cell>
          <cell r="D379" t="str">
            <v>Final compensation payment</v>
          </cell>
        </row>
        <row r="380">
          <cell r="C380" t="str">
            <v>Upravené nájemné</v>
          </cell>
          <cell r="D380" t="str">
            <v>Modified rent</v>
          </cell>
        </row>
        <row r="381">
          <cell r="C381" t="str">
            <v>faktor 'z'</v>
          </cell>
          <cell r="D381" t="str">
            <v>factor 'z'</v>
          </cell>
        </row>
        <row r="382">
          <cell r="C382" t="str">
            <v>Odpadní vody z jiných zdrojů</v>
          </cell>
          <cell r="D382" t="str">
            <v>Sewage from other sources</v>
          </cell>
        </row>
        <row r="383">
          <cell r="C383" t="str">
            <v>Příjem z odpadních vod z jiných zdrojů</v>
          </cell>
          <cell r="D383" t="str">
            <v>Revenue on sewage from other sources</v>
          </cell>
        </row>
        <row r="384">
          <cell r="C384" t="str">
            <v>aktualizovaný</v>
          </cell>
          <cell r="D384" t="str">
            <v>actualized</v>
          </cell>
        </row>
        <row r="385">
          <cell r="C385" t="str">
            <v>Faktor dělby úspor inv. nákladů</v>
          </cell>
          <cell r="D385" t="str">
            <v>Sharing of Capex saving factor</v>
          </cell>
        </row>
        <row r="386">
          <cell r="C386" t="str">
            <v>Zbývající délka smlouvy</v>
          </cell>
          <cell r="D386" t="str">
            <v>Remaining contract life</v>
          </cell>
        </row>
        <row r="387">
          <cell r="C387" t="str">
            <v>Změna PNHMM</v>
          </cell>
          <cell r="D387" t="str">
            <v>Change in ANGMW</v>
          </cell>
        </row>
        <row r="388">
          <cell r="C388" t="str">
            <v>* Průměrné nominální hrubé měsíční mzdy</v>
          </cell>
          <cell r="D388" t="str">
            <v>* Average Nominal Gross Monthly Wage</v>
          </cell>
        </row>
        <row r="389">
          <cell r="C389" t="str">
            <v>Mzdový index</v>
          </cell>
          <cell r="D389" t="str">
            <v>Wage Index</v>
          </cell>
        </row>
        <row r="390">
          <cell r="C390" t="str">
            <v>výchozího roku</v>
          </cell>
          <cell r="D390" t="str">
            <v>from base year</v>
          </cell>
        </row>
        <row r="391">
          <cell r="C391" t="str">
            <v>Aktualizace ISC</v>
          </cell>
          <cell r="D391" t="str">
            <v>Actualization of CPI</v>
          </cell>
        </row>
        <row r="392">
          <cell r="C392" t="str">
            <v>Investice v oblasti Pitné Vody</v>
          </cell>
          <cell r="D392" t="str">
            <v>Investments to Drinking water</v>
          </cell>
        </row>
        <row r="393">
          <cell r="C393" t="str">
            <v>Investice v oblasti Odpadní Vody</v>
          </cell>
          <cell r="D393" t="str">
            <v>Investments to Wastewater</v>
          </cell>
        </row>
        <row r="394">
          <cell r="C394" t="str">
            <v>Zadat skutečnost</v>
          </cell>
          <cell r="D394" t="str">
            <v>To fill in Audited values of</v>
          </cell>
        </row>
        <row r="395">
          <cell r="C395" t="str">
            <v>Zadat odhad za 3/4 roku</v>
          </cell>
          <cell r="D395" t="str">
            <v>To fill in Reforecast for 3/4 of year</v>
          </cell>
        </row>
        <row r="396">
          <cell r="C396" t="str">
            <v>Odhad za</v>
          </cell>
          <cell r="D396" t="str">
            <v>Reforecast for the year</v>
          </cell>
        </row>
        <row r="397">
          <cell r="C397" t="str">
            <v>již vyplněn</v>
          </cell>
          <cell r="D397" t="str">
            <v>already done</v>
          </cell>
        </row>
        <row r="398">
          <cell r="C398" t="str">
            <v>Aktualizace ISC</v>
          </cell>
          <cell r="D398" t="str">
            <v>Actualization of CPI</v>
          </cell>
        </row>
        <row r="399">
          <cell r="C399" t="str">
            <v>Původní nájemné</v>
          </cell>
          <cell r="D399" t="str">
            <v>Original rent</v>
          </cell>
        </row>
        <row r="400">
          <cell r="C400" t="str">
            <v>Celková pevná platba (vč. Vyrovnávací - stálé ceny)</v>
          </cell>
          <cell r="D400" t="str">
            <v>Total fixed payment (incl. copmpensation - constant prices)</v>
          </cell>
        </row>
        <row r="401">
          <cell r="C401" t="str">
            <v>vstupující do vyrovnání</v>
          </cell>
          <cell r="D401" t="str">
            <v>entering the reconciliation</v>
          </cell>
        </row>
        <row r="402">
          <cell r="C402" t="str">
            <v>Index změny původních obnovujících oprav infra. majetku</v>
          </cell>
          <cell r="D402" t="str">
            <v>Index of change of original renewal repairs of ifra. assets</v>
          </cell>
        </row>
        <row r="403">
          <cell r="C403" t="str">
            <v>Míra naplnění realizace obnovujících oprav</v>
          </cell>
          <cell r="D403" t="str">
            <v>Fulfilment of renewal repairs plan</v>
          </cell>
        </row>
        <row r="404">
          <cell r="C404" t="str">
            <v>Vstup odpisů Provozního majetku do ceny</v>
          </cell>
          <cell r="D404" t="str">
            <v>Influence of Operational assets depreciation on price</v>
          </cell>
        </row>
        <row r="405">
          <cell r="C405" t="str">
            <v>v rámci zadání provozních nákladů uživatelem</v>
          </cell>
          <cell r="D405" t="str">
            <v>within the OPEX users input</v>
          </cell>
        </row>
        <row r="406">
          <cell r="C406" t="str">
            <v>automatickým výpočtem modelu</v>
          </cell>
          <cell r="D406" t="str">
            <v>by automatic Model calculation</v>
          </cell>
        </row>
        <row r="407">
          <cell r="C407" t="str">
            <v>bez odpisů</v>
          </cell>
          <cell r="D407" t="str">
            <v>w/o depreciation</v>
          </cell>
        </row>
        <row r="408">
          <cell r="C408" t="str">
            <v>včetně odpisů</v>
          </cell>
          <cell r="D408" t="str">
            <v>depreciation included</v>
          </cell>
        </row>
        <row r="409">
          <cell r="C409" t="str">
            <v>Smluvní minimální výše oprav s charakterem obnovy</v>
          </cell>
          <cell r="D409" t="str">
            <v>The agreed minimal renewal repairs</v>
          </cell>
        </row>
        <row r="410">
          <cell r="C410" t="str">
            <v>Promítání míry realizace obnovujících oprav</v>
          </cell>
          <cell r="D410" t="str">
            <v>True pass through of the renewal repairs plan fulfilment ratio</v>
          </cell>
        </row>
        <row r="411">
          <cell r="C411" t="str">
            <v>Maximální přípustná míra realizace obnovujících oprav</v>
          </cell>
          <cell r="D411" t="str">
            <v>Maximal allowed renewal repairs plan fulfilment ratio</v>
          </cell>
        </row>
        <row r="412">
          <cell r="C412" t="str">
            <v>Minimální přípustná míra realizace obnovujících oprav</v>
          </cell>
          <cell r="D412" t="str">
            <v>Minimal allowed renewal repairs plan fulfilment ratio</v>
          </cell>
        </row>
        <row r="413">
          <cell r="C413" t="str">
            <v>Sankční znevýhodnění promítnutí míry realizace obnovujících oprav</v>
          </cell>
          <cell r="D413" t="str">
            <v>Penal devaluation of renewal repairs plan fulfilment ratio</v>
          </cell>
        </row>
        <row r="415">
          <cell r="C415" t="str">
            <v>English</v>
          </cell>
          <cell r="D415" t="str">
            <v>Czech</v>
          </cell>
        </row>
        <row r="416">
          <cell r="C416" t="str">
            <v>Name of Owner</v>
          </cell>
          <cell r="D416" t="str">
            <v>Název vlastníka</v>
          </cell>
        </row>
        <row r="417">
          <cell r="C417" t="str">
            <v>Person in charge</v>
          </cell>
          <cell r="D417" t="str">
            <v>Zodpovědná osoba</v>
          </cell>
        </row>
        <row r="418">
          <cell r="C418" t="str">
            <v>Name of Operator</v>
          </cell>
          <cell r="D418" t="str">
            <v>Název provozovatele</v>
          </cell>
        </row>
        <row r="419">
          <cell r="C419" t="str">
            <v>Person in charge</v>
          </cell>
          <cell r="D419" t="str">
            <v>Zodpovědná osoba</v>
          </cell>
        </row>
        <row r="420">
          <cell r="C420" t="str">
            <v>Contact address</v>
          </cell>
          <cell r="D420" t="str">
            <v>Kontaktní adresa</v>
          </cell>
        </row>
        <row r="421">
          <cell r="C421" t="str">
            <v>Telephone number</v>
          </cell>
          <cell r="D421" t="str">
            <v>Telefonní číslo</v>
          </cell>
        </row>
        <row r="422">
          <cell r="C422" t="str">
            <v>Fax number</v>
          </cell>
          <cell r="D422" t="str">
            <v>Fax</v>
          </cell>
        </row>
        <row r="423">
          <cell r="C423" t="str">
            <v>E-mail</v>
          </cell>
          <cell r="D423" t="str">
            <v>E-mail</v>
          </cell>
        </row>
        <row r="424">
          <cell r="C424" t="str">
            <v>Completed by</v>
          </cell>
          <cell r="D424" t="str">
            <v>Vyplnil</v>
          </cell>
        </row>
        <row r="425">
          <cell r="C425" t="str">
            <v>Financial Model for Water Sector Owners and Operators</v>
          </cell>
          <cell r="D425" t="str">
            <v>Finanční model pro vlastníky a provozovatele vodohospodářské infrastruktury</v>
          </cell>
        </row>
        <row r="426">
          <cell r="C426" t="str">
            <v>This project is co-financed by the European Union</v>
          </cell>
          <cell r="D426" t="str">
            <v>Tento projekt je spolufinancován Evropskou unií</v>
          </cell>
        </row>
        <row r="427">
          <cell r="C427" t="str">
            <v>Project Reference Data</v>
          </cell>
          <cell r="D427" t="str">
            <v>Identifikační údaje</v>
          </cell>
        </row>
        <row r="428">
          <cell r="C428" t="str">
            <v>Infrastructure Owner</v>
          </cell>
          <cell r="D428" t="str">
            <v>Vlastník infrastruktury</v>
          </cell>
        </row>
        <row r="429">
          <cell r="C429" t="str">
            <v>Infrastructure Operator</v>
          </cell>
          <cell r="D429" t="str">
            <v>Provozovatel infrastruktury</v>
          </cell>
        </row>
        <row r="430">
          <cell r="C430" t="str">
            <v>Version</v>
          </cell>
          <cell r="D430" t="str">
            <v>Verze</v>
          </cell>
        </row>
        <row r="431">
          <cell r="C431" t="str">
            <v>Date</v>
          </cell>
          <cell r="D431" t="str">
            <v>Datum</v>
          </cell>
        </row>
        <row r="432">
          <cell r="C432" t="str">
            <v>developed under contract for the project 'Financial and technical consultancy for SEF CR and MoE in the implementation of Annex 7 OPE'</v>
          </cell>
          <cell r="D432" t="str">
            <v>vypracován v rámci zakázky "Zajišťování finančně-technického poradenství pro SFŽP ČR a MŽP při implementaci přílohy č.7 OP ŽP"</v>
          </cell>
        </row>
        <row r="433">
          <cell r="C433" t="str">
            <v>Reconciliation tool for setting water and wastewater tariffs</v>
          </cell>
          <cell r="D433" t="str">
            <v>Vyrovnávací nástroj pro tvorbu cen pro vodné a stočné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C45"/>
  <sheetViews>
    <sheetView view="pageBreakPreview" topLeftCell="A4" zoomScaleNormal="100" zoomScaleSheetLayoutView="100" workbookViewId="0">
      <selection activeCell="G28" sqref="G28"/>
    </sheetView>
  </sheetViews>
  <sheetFormatPr defaultRowHeight="12.75" x14ac:dyDescent="0.2"/>
  <cols>
    <col min="1" max="1" width="18.42578125" style="97" customWidth="1"/>
    <col min="2" max="2" width="64.42578125" style="97" customWidth="1"/>
    <col min="3" max="3" width="2.85546875" style="97" customWidth="1"/>
    <col min="4" max="16384" width="9.140625" style="97"/>
  </cols>
  <sheetData>
    <row r="1" spans="1:2" ht="15.75" x14ac:dyDescent="0.25">
      <c r="A1" s="38" t="s">
        <v>170</v>
      </c>
    </row>
    <row r="2" spans="1:2" x14ac:dyDescent="0.2">
      <c r="A2" s="23"/>
    </row>
    <row r="4" spans="1:2" x14ac:dyDescent="0.2">
      <c r="A4" s="23" t="s">
        <v>172</v>
      </c>
    </row>
    <row r="5" spans="1:2" x14ac:dyDescent="0.2">
      <c r="A5" s="23"/>
    </row>
    <row r="7" spans="1:2" x14ac:dyDescent="0.2">
      <c r="A7" s="23" t="s">
        <v>173</v>
      </c>
    </row>
    <row r="8" spans="1:2" x14ac:dyDescent="0.2">
      <c r="A8" s="98" t="s">
        <v>174</v>
      </c>
      <c r="B8" s="98" t="s">
        <v>195</v>
      </c>
    </row>
    <row r="9" spans="1:2" x14ac:dyDescent="0.2">
      <c r="A9" s="98" t="s">
        <v>175</v>
      </c>
      <c r="B9" s="98" t="s">
        <v>261</v>
      </c>
    </row>
    <row r="10" spans="1:2" x14ac:dyDescent="0.2">
      <c r="A10" s="98" t="s">
        <v>176</v>
      </c>
      <c r="B10" s="98" t="s">
        <v>196</v>
      </c>
    </row>
    <row r="11" spans="1:2" x14ac:dyDescent="0.2">
      <c r="A11" s="98" t="s">
        <v>177</v>
      </c>
      <c r="B11" s="139">
        <v>777800169</v>
      </c>
    </row>
    <row r="12" spans="1:2" x14ac:dyDescent="0.2">
      <c r="A12" s="98" t="s">
        <v>178</v>
      </c>
      <c r="B12" s="98"/>
    </row>
    <row r="13" spans="1:2" x14ac:dyDescent="0.2">
      <c r="A13" s="98" t="s">
        <v>179</v>
      </c>
      <c r="B13" s="98" t="s">
        <v>211</v>
      </c>
    </row>
    <row r="16" spans="1:2" ht="13.5" thickBot="1" x14ac:dyDescent="0.25">
      <c r="A16" s="23" t="s">
        <v>180</v>
      </c>
    </row>
    <row r="17" spans="1:2" ht="13.5" thickTop="1" x14ac:dyDescent="0.2">
      <c r="A17" s="99" t="s">
        <v>174</v>
      </c>
      <c r="B17" s="119" t="s">
        <v>289</v>
      </c>
    </row>
    <row r="18" spans="1:2" x14ac:dyDescent="0.2">
      <c r="A18" s="100" t="s">
        <v>175</v>
      </c>
      <c r="B18" s="120" t="s">
        <v>286</v>
      </c>
    </row>
    <row r="19" spans="1:2" x14ac:dyDescent="0.2">
      <c r="A19" s="100" t="s">
        <v>176</v>
      </c>
      <c r="B19" s="120" t="s">
        <v>287</v>
      </c>
    </row>
    <row r="20" spans="1:2" x14ac:dyDescent="0.2">
      <c r="A20" s="100" t="s">
        <v>177</v>
      </c>
      <c r="B20" s="120">
        <v>321737191</v>
      </c>
    </row>
    <row r="21" spans="1:2" x14ac:dyDescent="0.2">
      <c r="A21" s="100" t="s">
        <v>178</v>
      </c>
      <c r="B21" s="332"/>
    </row>
    <row r="22" spans="1:2" x14ac:dyDescent="0.2">
      <c r="A22" s="100" t="s">
        <v>179</v>
      </c>
      <c r="B22" s="120" t="s">
        <v>288</v>
      </c>
    </row>
    <row r="23" spans="1:2" x14ac:dyDescent="0.2">
      <c r="A23" s="101"/>
      <c r="B23" s="121"/>
    </row>
    <row r="24" spans="1:2" x14ac:dyDescent="0.2">
      <c r="A24" s="101"/>
      <c r="B24" s="121"/>
    </row>
    <row r="25" spans="1:2" x14ac:dyDescent="0.2">
      <c r="A25" s="100" t="s">
        <v>181</v>
      </c>
      <c r="B25" s="120" t="s">
        <v>286</v>
      </c>
    </row>
    <row r="26" spans="1:2" ht="13.5" thickBot="1" x14ac:dyDescent="0.25">
      <c r="A26" s="102" t="s">
        <v>171</v>
      </c>
      <c r="B26" s="333">
        <v>41865</v>
      </c>
    </row>
    <row r="27" spans="1:2" ht="13.5" thickTop="1" x14ac:dyDescent="0.2"/>
    <row r="30" spans="1:2" ht="13.5" thickBot="1" x14ac:dyDescent="0.25">
      <c r="A30" s="23" t="s">
        <v>190</v>
      </c>
    </row>
    <row r="31" spans="1:2" ht="54" customHeight="1" thickTop="1" thickBot="1" x14ac:dyDescent="0.25">
      <c r="A31" s="340" t="s">
        <v>283</v>
      </c>
      <c r="B31" s="341"/>
    </row>
    <row r="32" spans="1:2" ht="13.5" thickTop="1" x14ac:dyDescent="0.2"/>
    <row r="33" spans="1:3" ht="27" customHeight="1" x14ac:dyDescent="0.2">
      <c r="A33" s="342" t="s">
        <v>183</v>
      </c>
      <c r="B33" s="342"/>
    </row>
    <row r="35" spans="1:3" ht="26.25" customHeight="1" x14ac:dyDescent="0.2">
      <c r="A35" s="343" t="s">
        <v>182</v>
      </c>
      <c r="B35" s="343"/>
    </row>
    <row r="37" spans="1:3" ht="51.75" customHeight="1" x14ac:dyDescent="0.2">
      <c r="A37" s="344" t="s">
        <v>282</v>
      </c>
      <c r="B37" s="345"/>
    </row>
    <row r="39" spans="1:3" x14ac:dyDescent="0.2">
      <c r="A39" s="117"/>
      <c r="B39" s="117"/>
      <c r="C39" s="117"/>
    </row>
    <row r="40" spans="1:3" x14ac:dyDescent="0.2">
      <c r="A40" s="339" t="s">
        <v>212</v>
      </c>
      <c r="B40" s="339"/>
      <c r="C40" s="117"/>
    </row>
    <row r="41" spans="1:3" x14ac:dyDescent="0.2">
      <c r="A41" s="117"/>
      <c r="B41" s="117"/>
      <c r="C41" s="117"/>
    </row>
    <row r="43" spans="1:3" x14ac:dyDescent="0.2">
      <c r="A43" s="118"/>
      <c r="B43" s="118"/>
      <c r="C43" s="118"/>
    </row>
    <row r="44" spans="1:3" x14ac:dyDescent="0.2">
      <c r="A44" s="339" t="s">
        <v>213</v>
      </c>
      <c r="B44" s="339"/>
      <c r="C44" s="118"/>
    </row>
    <row r="45" spans="1:3" x14ac:dyDescent="0.2">
      <c r="A45" s="118"/>
      <c r="B45" s="118"/>
      <c r="C45" s="118"/>
    </row>
  </sheetData>
  <sheetProtection password="C99A" sheet="1" objects="1" scenarios="1"/>
  <protectedRanges>
    <protectedRange sqref="A17:B26" name="Oblast1"/>
  </protectedRanges>
  <mergeCells count="6">
    <mergeCell ref="A44:B44"/>
    <mergeCell ref="A31:B31"/>
    <mergeCell ref="A33:B33"/>
    <mergeCell ref="A35:B35"/>
    <mergeCell ref="A37:B37"/>
    <mergeCell ref="A40:B4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P55"/>
  <sheetViews>
    <sheetView view="pageBreakPreview" zoomScaleNormal="100" zoomScaleSheetLayoutView="100" workbookViewId="0">
      <selection activeCell="Q22" sqref="Q22"/>
    </sheetView>
  </sheetViews>
  <sheetFormatPr defaultRowHeight="11.25" x14ac:dyDescent="0.2"/>
  <cols>
    <col min="1" max="1" width="45.28515625" style="2" bestFit="1" customWidth="1"/>
    <col min="2" max="2" width="10.85546875" style="25" bestFit="1" customWidth="1"/>
    <col min="3" max="3" width="3.140625" style="25" customWidth="1"/>
    <col min="4" max="13" width="9.140625" style="2"/>
    <col min="14" max="14" width="2.42578125" style="2" customWidth="1"/>
    <col min="15" max="16384" width="9.140625" style="2"/>
  </cols>
  <sheetData>
    <row r="1" spans="1:16" ht="15.75" x14ac:dyDescent="0.25">
      <c r="A1" s="38" t="s">
        <v>112</v>
      </c>
    </row>
    <row r="3" spans="1:16" s="33" customFormat="1" ht="12.75" x14ac:dyDescent="0.2">
      <c r="A3" s="33" t="s">
        <v>113</v>
      </c>
      <c r="B3" s="34"/>
      <c r="C3" s="34"/>
    </row>
    <row r="4" spans="1:16" x14ac:dyDescent="0.2">
      <c r="A4" s="26" t="s">
        <v>189</v>
      </c>
      <c r="B4" s="27">
        <v>2014</v>
      </c>
      <c r="C4" s="32"/>
    </row>
    <row r="5" spans="1:16" x14ac:dyDescent="0.2">
      <c r="A5" s="26" t="s">
        <v>114</v>
      </c>
      <c r="B5" s="27">
        <v>10</v>
      </c>
      <c r="C5" s="32"/>
    </row>
    <row r="6" spans="1:16" x14ac:dyDescent="0.2">
      <c r="A6" s="26" t="s">
        <v>167</v>
      </c>
      <c r="B6" s="76">
        <v>0.02</v>
      </c>
      <c r="C6" s="95"/>
    </row>
    <row r="7" spans="1:16" x14ac:dyDescent="0.2">
      <c r="A7" s="26" t="s">
        <v>169</v>
      </c>
      <c r="B7" s="76">
        <v>0.15</v>
      </c>
      <c r="C7" s="95"/>
    </row>
    <row r="8" spans="1:16" s="17" customFormat="1" x14ac:dyDescent="0.2">
      <c r="B8" s="95"/>
      <c r="C8" s="95"/>
    </row>
    <row r="9" spans="1:16" ht="12.75" x14ac:dyDescent="0.2">
      <c r="A9" s="33" t="s">
        <v>197</v>
      </c>
      <c r="B9" s="32"/>
      <c r="C9" s="32"/>
      <c r="D9" s="24">
        <f>B4+2</f>
        <v>2016</v>
      </c>
      <c r="E9" s="24">
        <f>D9+1</f>
        <v>2017</v>
      </c>
      <c r="F9" s="24">
        <f t="shared" ref="F9:M9" si="0">E9+1</f>
        <v>2018</v>
      </c>
      <c r="G9" s="24">
        <f t="shared" si="0"/>
        <v>2019</v>
      </c>
      <c r="H9" s="24">
        <f t="shared" si="0"/>
        <v>2020</v>
      </c>
      <c r="I9" s="24">
        <f t="shared" si="0"/>
        <v>2021</v>
      </c>
      <c r="J9" s="24">
        <f t="shared" si="0"/>
        <v>2022</v>
      </c>
      <c r="K9" s="24">
        <f t="shared" si="0"/>
        <v>2023</v>
      </c>
      <c r="L9" s="24">
        <f t="shared" si="0"/>
        <v>2024</v>
      </c>
      <c r="M9" s="24">
        <f t="shared" si="0"/>
        <v>2025</v>
      </c>
    </row>
    <row r="10" spans="1:16" s="17" customForma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6" x14ac:dyDescent="0.2">
      <c r="A11" s="103" t="s">
        <v>115</v>
      </c>
      <c r="B11" s="104" t="s">
        <v>116</v>
      </c>
      <c r="C11" s="104"/>
      <c r="D11" s="130">
        <v>18825</v>
      </c>
      <c r="E11" s="130">
        <f>D11*(1+$O$11)</f>
        <v>19483.875</v>
      </c>
      <c r="F11" s="130">
        <f t="shared" ref="F11:M11" si="1">E11*(1+$O$11)</f>
        <v>20165.810624999998</v>
      </c>
      <c r="G11" s="130">
        <f t="shared" si="1"/>
        <v>20871.613996874996</v>
      </c>
      <c r="H11" s="130">
        <f t="shared" si="1"/>
        <v>21602.12048676562</v>
      </c>
      <c r="I11" s="130">
        <f t="shared" si="1"/>
        <v>22358.194703802415</v>
      </c>
      <c r="J11" s="130">
        <f t="shared" si="1"/>
        <v>23140.731518435499</v>
      </c>
      <c r="K11" s="130">
        <f t="shared" si="1"/>
        <v>23950.657121580742</v>
      </c>
      <c r="L11" s="130">
        <f t="shared" si="1"/>
        <v>24788.930120836067</v>
      </c>
      <c r="M11" s="130">
        <f t="shared" si="1"/>
        <v>25656.542675065328</v>
      </c>
      <c r="N11" s="28"/>
      <c r="O11" s="49">
        <v>3.5000000000000003E-2</v>
      </c>
      <c r="P11" s="2" t="s">
        <v>253</v>
      </c>
    </row>
    <row r="12" spans="1:16" x14ac:dyDescent="0.2">
      <c r="A12" s="28"/>
      <c r="B12" s="29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16" x14ac:dyDescent="0.2">
      <c r="A13" s="47" t="s">
        <v>117</v>
      </c>
      <c r="B13" s="32"/>
      <c r="C13" s="32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28"/>
    </row>
    <row r="14" spans="1:16" x14ac:dyDescent="0.2">
      <c r="A14" s="26" t="s">
        <v>118</v>
      </c>
      <c r="B14" s="27" t="s">
        <v>119</v>
      </c>
      <c r="C14" s="27"/>
      <c r="D14" s="138">
        <f>D22*'nabidka dodavatele'!C23*0.95</f>
        <v>2257.1999999999998</v>
      </c>
      <c r="E14" s="131">
        <f>D14</f>
        <v>2257.1999999999998</v>
      </c>
      <c r="F14" s="131">
        <f t="shared" ref="F14:M14" si="2">E14</f>
        <v>2257.1999999999998</v>
      </c>
      <c r="G14" s="131">
        <f t="shared" si="2"/>
        <v>2257.1999999999998</v>
      </c>
      <c r="H14" s="131">
        <f t="shared" si="2"/>
        <v>2257.1999999999998</v>
      </c>
      <c r="I14" s="131">
        <f t="shared" si="2"/>
        <v>2257.1999999999998</v>
      </c>
      <c r="J14" s="131">
        <f t="shared" si="2"/>
        <v>2257.1999999999998</v>
      </c>
      <c r="K14" s="131">
        <f t="shared" si="2"/>
        <v>2257.1999999999998</v>
      </c>
      <c r="L14" s="131">
        <f t="shared" si="2"/>
        <v>2257.1999999999998</v>
      </c>
      <c r="M14" s="131">
        <f t="shared" si="2"/>
        <v>2257.1999999999998</v>
      </c>
      <c r="N14" s="28"/>
      <c r="O14" s="140">
        <f>D14/$D$17</f>
        <v>0.95</v>
      </c>
    </row>
    <row r="15" spans="1:16" x14ac:dyDescent="0.2">
      <c r="A15" s="26" t="s">
        <v>120</v>
      </c>
      <c r="B15" s="27" t="s">
        <v>119</v>
      </c>
      <c r="C15" s="27"/>
      <c r="D15" s="131">
        <f>D22*'nabidka dodavatele'!C23*0.05</f>
        <v>118.80000000000001</v>
      </c>
      <c r="E15" s="131">
        <f>D15</f>
        <v>118.80000000000001</v>
      </c>
      <c r="F15" s="131">
        <f t="shared" ref="F15:M15" si="3">E15</f>
        <v>118.80000000000001</v>
      </c>
      <c r="G15" s="131">
        <f t="shared" si="3"/>
        <v>118.80000000000001</v>
      </c>
      <c r="H15" s="131">
        <f t="shared" si="3"/>
        <v>118.80000000000001</v>
      </c>
      <c r="I15" s="131">
        <f t="shared" si="3"/>
        <v>118.80000000000001</v>
      </c>
      <c r="J15" s="131">
        <f t="shared" si="3"/>
        <v>118.80000000000001</v>
      </c>
      <c r="K15" s="131">
        <f t="shared" si="3"/>
        <v>118.80000000000001</v>
      </c>
      <c r="L15" s="131">
        <f t="shared" si="3"/>
        <v>118.80000000000001</v>
      </c>
      <c r="M15" s="131">
        <f t="shared" si="3"/>
        <v>118.80000000000001</v>
      </c>
      <c r="N15" s="28"/>
      <c r="O15" s="140">
        <f>D15/$D$17</f>
        <v>0.05</v>
      </c>
    </row>
    <row r="16" spans="1:16" x14ac:dyDescent="0.2">
      <c r="A16" s="26" t="s">
        <v>121</v>
      </c>
      <c r="B16" s="27" t="s">
        <v>119</v>
      </c>
      <c r="C16" s="27"/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28"/>
      <c r="O16" s="140">
        <f>D16/$D$17</f>
        <v>0</v>
      </c>
    </row>
    <row r="17" spans="1:16" x14ac:dyDescent="0.2">
      <c r="A17" s="31" t="s">
        <v>122</v>
      </c>
      <c r="B17" s="74" t="s">
        <v>119</v>
      </c>
      <c r="C17" s="74"/>
      <c r="D17" s="132">
        <f>D14+D15-D16</f>
        <v>2376</v>
      </c>
      <c r="E17" s="132">
        <f t="shared" ref="E17:M17" si="4">E14+E15-E16</f>
        <v>2376</v>
      </c>
      <c r="F17" s="132">
        <f t="shared" si="4"/>
        <v>2376</v>
      </c>
      <c r="G17" s="132">
        <f t="shared" si="4"/>
        <v>2376</v>
      </c>
      <c r="H17" s="132">
        <f t="shared" si="4"/>
        <v>2376</v>
      </c>
      <c r="I17" s="132">
        <f t="shared" si="4"/>
        <v>2376</v>
      </c>
      <c r="J17" s="132">
        <f t="shared" si="4"/>
        <v>2376</v>
      </c>
      <c r="K17" s="132">
        <f t="shared" si="4"/>
        <v>2376</v>
      </c>
      <c r="L17" s="132">
        <f t="shared" si="4"/>
        <v>2376</v>
      </c>
      <c r="M17" s="132">
        <f t="shared" si="4"/>
        <v>2376</v>
      </c>
      <c r="N17" s="28"/>
    </row>
    <row r="18" spans="1:16" x14ac:dyDescent="0.2">
      <c r="A18" s="28"/>
      <c r="B18" s="29"/>
      <c r="C18" s="29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</row>
    <row r="19" spans="1:16" x14ac:dyDescent="0.2">
      <c r="A19" s="47" t="s">
        <v>123</v>
      </c>
      <c r="B19" s="32"/>
      <c r="C19" s="32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28"/>
    </row>
    <row r="20" spans="1:16" x14ac:dyDescent="0.2">
      <c r="A20" s="26" t="s">
        <v>124</v>
      </c>
      <c r="B20" s="27" t="s">
        <v>119</v>
      </c>
      <c r="C20" s="27"/>
      <c r="D20" s="131">
        <v>1000</v>
      </c>
      <c r="E20" s="131">
        <f>D20</f>
        <v>1000</v>
      </c>
      <c r="F20" s="131">
        <f t="shared" ref="F20:M20" si="5">E20</f>
        <v>1000</v>
      </c>
      <c r="G20" s="131">
        <f t="shared" si="5"/>
        <v>1000</v>
      </c>
      <c r="H20" s="131">
        <f t="shared" si="5"/>
        <v>1000</v>
      </c>
      <c r="I20" s="131">
        <f t="shared" si="5"/>
        <v>1000</v>
      </c>
      <c r="J20" s="131">
        <f t="shared" si="5"/>
        <v>1000</v>
      </c>
      <c r="K20" s="131">
        <f t="shared" si="5"/>
        <v>1000</v>
      </c>
      <c r="L20" s="131">
        <f t="shared" si="5"/>
        <v>1000</v>
      </c>
      <c r="M20" s="131">
        <f t="shared" si="5"/>
        <v>1000</v>
      </c>
      <c r="N20" s="28"/>
      <c r="O20" s="140"/>
    </row>
    <row r="21" spans="1:16" x14ac:dyDescent="0.2">
      <c r="A21" s="31" t="s">
        <v>125</v>
      </c>
      <c r="B21" s="74" t="s">
        <v>119</v>
      </c>
      <c r="C21" s="74"/>
      <c r="D21" s="132">
        <f>D22-D20</f>
        <v>800</v>
      </c>
      <c r="E21" s="132">
        <f t="shared" ref="E21:M21" si="6">E22-E20</f>
        <v>800</v>
      </c>
      <c r="F21" s="132">
        <f t="shared" si="6"/>
        <v>800</v>
      </c>
      <c r="G21" s="132">
        <f t="shared" si="6"/>
        <v>800</v>
      </c>
      <c r="H21" s="132">
        <f t="shared" si="6"/>
        <v>800</v>
      </c>
      <c r="I21" s="132">
        <f t="shared" si="6"/>
        <v>800</v>
      </c>
      <c r="J21" s="132">
        <f t="shared" si="6"/>
        <v>800</v>
      </c>
      <c r="K21" s="132">
        <f t="shared" si="6"/>
        <v>800</v>
      </c>
      <c r="L21" s="132">
        <f t="shared" si="6"/>
        <v>800</v>
      </c>
      <c r="M21" s="132">
        <f t="shared" si="6"/>
        <v>800</v>
      </c>
      <c r="N21" s="28"/>
      <c r="O21" s="140"/>
    </row>
    <row r="22" spans="1:16" x14ac:dyDescent="0.2">
      <c r="A22" s="26" t="s">
        <v>126</v>
      </c>
      <c r="B22" s="27" t="s">
        <v>119</v>
      </c>
      <c r="C22" s="27"/>
      <c r="D22" s="131">
        <v>1800</v>
      </c>
      <c r="E22" s="131">
        <f t="shared" ref="E22:M22" si="7">D22</f>
        <v>1800</v>
      </c>
      <c r="F22" s="131">
        <f t="shared" si="7"/>
        <v>1800</v>
      </c>
      <c r="G22" s="131">
        <f t="shared" si="7"/>
        <v>1800</v>
      </c>
      <c r="H22" s="131">
        <f t="shared" si="7"/>
        <v>1800</v>
      </c>
      <c r="I22" s="131">
        <f t="shared" si="7"/>
        <v>1800</v>
      </c>
      <c r="J22" s="131">
        <f t="shared" si="7"/>
        <v>1800</v>
      </c>
      <c r="K22" s="131">
        <f t="shared" si="7"/>
        <v>1800</v>
      </c>
      <c r="L22" s="131">
        <f t="shared" si="7"/>
        <v>1800</v>
      </c>
      <c r="M22" s="131">
        <f t="shared" si="7"/>
        <v>1800</v>
      </c>
      <c r="N22" s="28"/>
    </row>
    <row r="23" spans="1:16" x14ac:dyDescent="0.2">
      <c r="A23" s="28"/>
      <c r="B23" s="29"/>
      <c r="C23" s="29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28"/>
    </row>
    <row r="24" spans="1:16" x14ac:dyDescent="0.2">
      <c r="A24" s="47" t="s">
        <v>168</v>
      </c>
      <c r="B24" s="32"/>
      <c r="C24" s="32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28"/>
    </row>
    <row r="25" spans="1:16" x14ac:dyDescent="0.2">
      <c r="A25" s="26" t="s">
        <v>127</v>
      </c>
      <c r="B25" s="27" t="s">
        <v>89</v>
      </c>
      <c r="C25" s="27"/>
      <c r="D25" s="133">
        <v>2.3037391458444096</v>
      </c>
      <c r="E25" s="133">
        <v>2.3037391458444096</v>
      </c>
      <c r="F25" s="133">
        <v>2.3037391458444096</v>
      </c>
      <c r="G25" s="133">
        <v>2.3037391458444096</v>
      </c>
      <c r="H25" s="133">
        <v>2.3037391458444096</v>
      </c>
      <c r="I25" s="133">
        <v>2.3037391458444096</v>
      </c>
      <c r="J25" s="133">
        <v>2.3037391458444096</v>
      </c>
      <c r="K25" s="133">
        <v>2.3037391458444096</v>
      </c>
      <c r="L25" s="133">
        <v>2.3037391458444096</v>
      </c>
      <c r="M25" s="133">
        <v>2.3037391458444096</v>
      </c>
      <c r="N25" s="28"/>
    </row>
    <row r="26" spans="1:16" x14ac:dyDescent="0.2">
      <c r="A26" s="26" t="s">
        <v>128</v>
      </c>
      <c r="B26" s="27" t="s">
        <v>89</v>
      </c>
      <c r="C26" s="27"/>
      <c r="D26" s="133">
        <v>15.54</v>
      </c>
      <c r="E26" s="133">
        <f>D26*(1+$O$26)</f>
        <v>15.8508</v>
      </c>
      <c r="F26" s="133">
        <f t="shared" ref="F26:M26" si="8">E26*(1+$O$26)</f>
        <v>16.167815999999998</v>
      </c>
      <c r="G26" s="133">
        <f t="shared" si="8"/>
        <v>16.49117232</v>
      </c>
      <c r="H26" s="133">
        <f t="shared" si="8"/>
        <v>16.820995766399999</v>
      </c>
      <c r="I26" s="133">
        <f t="shared" si="8"/>
        <v>17.157415681728001</v>
      </c>
      <c r="J26" s="133">
        <f t="shared" si="8"/>
        <v>17.500563995362562</v>
      </c>
      <c r="K26" s="133">
        <f t="shared" si="8"/>
        <v>17.850575275269815</v>
      </c>
      <c r="L26" s="133">
        <f t="shared" si="8"/>
        <v>18.207586780775213</v>
      </c>
      <c r="M26" s="133">
        <f t="shared" si="8"/>
        <v>18.571738516390717</v>
      </c>
      <c r="N26" s="28"/>
      <c r="O26" s="49">
        <v>0.02</v>
      </c>
      <c r="P26" s="2" t="str">
        <f>P11</f>
        <v>meziroční nárůst</v>
      </c>
    </row>
    <row r="27" spans="1:16" x14ac:dyDescent="0.2">
      <c r="A27" s="26" t="s">
        <v>129</v>
      </c>
      <c r="B27" s="27" t="s">
        <v>89</v>
      </c>
      <c r="C27" s="27"/>
      <c r="D27" s="133">
        <v>0.23148148148148148</v>
      </c>
      <c r="E27" s="133">
        <f>D27</f>
        <v>0.23148148148148148</v>
      </c>
      <c r="F27" s="133">
        <f t="shared" ref="F27:M27" si="9">E27</f>
        <v>0.23148148148148148</v>
      </c>
      <c r="G27" s="133">
        <f t="shared" si="9"/>
        <v>0.23148148148148148</v>
      </c>
      <c r="H27" s="133">
        <f t="shared" si="9"/>
        <v>0.23148148148148148</v>
      </c>
      <c r="I27" s="133">
        <f t="shared" si="9"/>
        <v>0.23148148148148148</v>
      </c>
      <c r="J27" s="133">
        <f t="shared" si="9"/>
        <v>0.23148148148148148</v>
      </c>
      <c r="K27" s="133">
        <f t="shared" si="9"/>
        <v>0.23148148148148148</v>
      </c>
      <c r="L27" s="133">
        <f t="shared" si="9"/>
        <v>0.23148148148148148</v>
      </c>
      <c r="M27" s="133">
        <f t="shared" si="9"/>
        <v>0.23148148148148148</v>
      </c>
      <c r="N27" s="28"/>
    </row>
    <row r="28" spans="1:16" x14ac:dyDescent="0.2">
      <c r="A28" s="17"/>
      <c r="B28" s="32"/>
      <c r="C28" s="32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28"/>
    </row>
    <row r="29" spans="1:16" x14ac:dyDescent="0.2">
      <c r="A29" s="47" t="s">
        <v>157</v>
      </c>
      <c r="B29" s="123" t="s">
        <v>191</v>
      </c>
      <c r="C29" s="123"/>
      <c r="D29" s="136">
        <v>38000</v>
      </c>
      <c r="E29" s="136">
        <v>38000</v>
      </c>
      <c r="F29" s="136">
        <v>38000</v>
      </c>
      <c r="G29" s="136">
        <v>38000</v>
      </c>
      <c r="H29" s="136">
        <v>38000</v>
      </c>
      <c r="I29" s="136">
        <v>38000</v>
      </c>
      <c r="J29" s="136">
        <v>38000</v>
      </c>
      <c r="K29" s="136">
        <v>38000</v>
      </c>
      <c r="L29" s="136">
        <v>38000</v>
      </c>
      <c r="M29" s="136">
        <v>38000</v>
      </c>
      <c r="N29" s="28"/>
    </row>
    <row r="30" spans="1:16" x14ac:dyDescent="0.2">
      <c r="A30" s="105" t="s">
        <v>158</v>
      </c>
      <c r="B30" s="27" t="s">
        <v>159</v>
      </c>
      <c r="C30" s="27"/>
      <c r="D30" s="131">
        <v>7306</v>
      </c>
      <c r="E30" s="131">
        <f>D30</f>
        <v>7306</v>
      </c>
      <c r="F30" s="131">
        <f t="shared" ref="F30:M30" si="10">E30</f>
        <v>7306</v>
      </c>
      <c r="G30" s="131">
        <f t="shared" si="10"/>
        <v>7306</v>
      </c>
      <c r="H30" s="131">
        <f t="shared" si="10"/>
        <v>7306</v>
      </c>
      <c r="I30" s="131">
        <f t="shared" si="10"/>
        <v>7306</v>
      </c>
      <c r="J30" s="131">
        <f t="shared" si="10"/>
        <v>7306</v>
      </c>
      <c r="K30" s="131">
        <f t="shared" si="10"/>
        <v>7306</v>
      </c>
      <c r="L30" s="131">
        <f t="shared" si="10"/>
        <v>7306</v>
      </c>
      <c r="M30" s="131">
        <f t="shared" si="10"/>
        <v>7306</v>
      </c>
      <c r="N30" s="28"/>
    </row>
    <row r="31" spans="1:16" x14ac:dyDescent="0.2">
      <c r="A31" s="28"/>
      <c r="B31" s="29"/>
      <c r="C31" s="29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6" s="17" customFormat="1" x14ac:dyDescent="0.2">
      <c r="B32" s="32"/>
      <c r="C32" s="32"/>
    </row>
    <row r="33" spans="1:16" s="17" customFormat="1" ht="12.75" x14ac:dyDescent="0.2">
      <c r="A33" s="33" t="s">
        <v>194</v>
      </c>
      <c r="B33" s="32"/>
      <c r="C33" s="32"/>
      <c r="D33" s="24">
        <f t="shared" ref="D33:M33" si="11">D9</f>
        <v>2016</v>
      </c>
      <c r="E33" s="24">
        <f t="shared" si="11"/>
        <v>2017</v>
      </c>
      <c r="F33" s="24">
        <f t="shared" si="11"/>
        <v>2018</v>
      </c>
      <c r="G33" s="24">
        <f t="shared" si="11"/>
        <v>2019</v>
      </c>
      <c r="H33" s="24">
        <f t="shared" si="11"/>
        <v>2020</v>
      </c>
      <c r="I33" s="24">
        <f t="shared" si="11"/>
        <v>2021</v>
      </c>
      <c r="J33" s="24">
        <f t="shared" si="11"/>
        <v>2022</v>
      </c>
      <c r="K33" s="24">
        <f t="shared" si="11"/>
        <v>2023</v>
      </c>
      <c r="L33" s="24">
        <f t="shared" si="11"/>
        <v>2024</v>
      </c>
      <c r="M33" s="24">
        <f t="shared" si="11"/>
        <v>2025</v>
      </c>
    </row>
    <row r="34" spans="1:16" s="33" customFormat="1" ht="12.75" x14ac:dyDescent="0.2">
      <c r="A34" s="81"/>
      <c r="B34" s="106"/>
      <c r="C34" s="106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1:16" x14ac:dyDescent="0.2">
      <c r="A35" s="103" t="s">
        <v>115</v>
      </c>
      <c r="B35" s="104" t="s">
        <v>116</v>
      </c>
      <c r="C35" s="104"/>
      <c r="D35" s="130">
        <v>430</v>
      </c>
      <c r="E35" s="130">
        <f>D35*(1+$O$35)</f>
        <v>445.04999999999995</v>
      </c>
      <c r="F35" s="130">
        <f t="shared" ref="F35:M35" si="12">E35*(1+$O$35)</f>
        <v>460.6267499999999</v>
      </c>
      <c r="G35" s="130">
        <f t="shared" si="12"/>
        <v>476.74868624999988</v>
      </c>
      <c r="H35" s="130">
        <f t="shared" si="12"/>
        <v>493.43489026874983</v>
      </c>
      <c r="I35" s="130">
        <f t="shared" si="12"/>
        <v>510.70511142815604</v>
      </c>
      <c r="J35" s="130">
        <f t="shared" si="12"/>
        <v>528.57979032814148</v>
      </c>
      <c r="K35" s="130">
        <f t="shared" si="12"/>
        <v>547.08008298962636</v>
      </c>
      <c r="L35" s="130">
        <f t="shared" si="12"/>
        <v>566.2278858942633</v>
      </c>
      <c r="M35" s="130">
        <f t="shared" si="12"/>
        <v>586.0458619005625</v>
      </c>
      <c r="N35" s="44"/>
      <c r="O35" s="129">
        <f>O11</f>
        <v>3.5000000000000003E-2</v>
      </c>
      <c r="P35" s="2" t="str">
        <f>P11</f>
        <v>meziroční nárůst</v>
      </c>
    </row>
    <row r="36" spans="1:16" x14ac:dyDescent="0.2">
      <c r="A36" s="44"/>
      <c r="B36" s="45"/>
      <c r="C36" s="45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44"/>
    </row>
    <row r="37" spans="1:16" x14ac:dyDescent="0.2">
      <c r="A37" s="47" t="s">
        <v>117</v>
      </c>
      <c r="B37" s="32"/>
      <c r="C37" s="32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44"/>
    </row>
    <row r="38" spans="1:16" x14ac:dyDescent="0.2">
      <c r="A38" s="26" t="str">
        <f>A14</f>
        <v xml:space="preserve"> - objem vody vyrobené</v>
      </c>
      <c r="B38" s="27" t="s">
        <v>119</v>
      </c>
      <c r="C38" s="27"/>
      <c r="D38" s="138">
        <f>D46*'nabidka dodavatele'!C61*0.95</f>
        <v>150.47999999999999</v>
      </c>
      <c r="E38" s="138">
        <f>D38</f>
        <v>150.47999999999999</v>
      </c>
      <c r="F38" s="138">
        <f t="shared" ref="F38:M38" si="13">E38</f>
        <v>150.47999999999999</v>
      </c>
      <c r="G38" s="138">
        <f t="shared" si="13"/>
        <v>150.47999999999999</v>
      </c>
      <c r="H38" s="138">
        <f t="shared" si="13"/>
        <v>150.47999999999999</v>
      </c>
      <c r="I38" s="138">
        <f t="shared" si="13"/>
        <v>150.47999999999999</v>
      </c>
      <c r="J38" s="138">
        <f t="shared" si="13"/>
        <v>150.47999999999999</v>
      </c>
      <c r="K38" s="138">
        <f t="shared" si="13"/>
        <v>150.47999999999999</v>
      </c>
      <c r="L38" s="138">
        <f t="shared" si="13"/>
        <v>150.47999999999999</v>
      </c>
      <c r="M38" s="138">
        <f t="shared" si="13"/>
        <v>150.47999999999999</v>
      </c>
      <c r="N38" s="44"/>
      <c r="O38" s="140">
        <f>D38/$D$41</f>
        <v>0.95</v>
      </c>
    </row>
    <row r="39" spans="1:16" x14ac:dyDescent="0.2">
      <c r="A39" s="26" t="str">
        <f>A15</f>
        <v xml:space="preserve"> - objem vody převzaté</v>
      </c>
      <c r="B39" s="27" t="s">
        <v>119</v>
      </c>
      <c r="C39" s="27"/>
      <c r="D39" s="138">
        <f>D46*'nabidka dodavatele'!C61*0.05</f>
        <v>7.9200000000000008</v>
      </c>
      <c r="E39" s="131">
        <f>D39</f>
        <v>7.9200000000000008</v>
      </c>
      <c r="F39" s="131">
        <f t="shared" ref="F39:M39" si="14">E39</f>
        <v>7.9200000000000008</v>
      </c>
      <c r="G39" s="131">
        <f t="shared" si="14"/>
        <v>7.9200000000000008</v>
      </c>
      <c r="H39" s="131">
        <f t="shared" si="14"/>
        <v>7.9200000000000008</v>
      </c>
      <c r="I39" s="131">
        <f t="shared" si="14"/>
        <v>7.9200000000000008</v>
      </c>
      <c r="J39" s="131">
        <f t="shared" si="14"/>
        <v>7.9200000000000008</v>
      </c>
      <c r="K39" s="131">
        <f t="shared" si="14"/>
        <v>7.9200000000000008</v>
      </c>
      <c r="L39" s="131">
        <f t="shared" si="14"/>
        <v>7.9200000000000008</v>
      </c>
      <c r="M39" s="131">
        <f t="shared" si="14"/>
        <v>7.9200000000000008</v>
      </c>
      <c r="N39" s="44"/>
      <c r="O39" s="140">
        <f>D39/$D$41</f>
        <v>0.05</v>
      </c>
    </row>
    <row r="40" spans="1:16" x14ac:dyDescent="0.2">
      <c r="A40" s="26" t="str">
        <f>A16</f>
        <v xml:space="preserve"> - objem vody předané</v>
      </c>
      <c r="B40" s="27" t="s">
        <v>119</v>
      </c>
      <c r="C40" s="27"/>
      <c r="D40" s="131">
        <v>0</v>
      </c>
      <c r="E40" s="131">
        <v>0</v>
      </c>
      <c r="F40" s="131">
        <v>0</v>
      </c>
      <c r="G40" s="131">
        <v>0</v>
      </c>
      <c r="H40" s="131">
        <v>0</v>
      </c>
      <c r="I40" s="131">
        <v>0</v>
      </c>
      <c r="J40" s="131">
        <v>0</v>
      </c>
      <c r="K40" s="131">
        <v>0</v>
      </c>
      <c r="L40" s="131">
        <v>0</v>
      </c>
      <c r="M40" s="131">
        <v>0</v>
      </c>
      <c r="N40" s="44"/>
      <c r="O40" s="140">
        <f>D40/$D$17</f>
        <v>0</v>
      </c>
    </row>
    <row r="41" spans="1:16" x14ac:dyDescent="0.2">
      <c r="A41" s="31" t="str">
        <f>A17</f>
        <v>Voda k realizaci</v>
      </c>
      <c r="B41" s="74" t="s">
        <v>119</v>
      </c>
      <c r="C41" s="74"/>
      <c r="D41" s="132">
        <f>'vstupy zadavatele'!D46*'nabidka dodavatele'!C23</f>
        <v>158.4</v>
      </c>
      <c r="E41" s="132">
        <f t="shared" ref="E41:M41" si="15">SUM(E38:E39)</f>
        <v>158.39999999999998</v>
      </c>
      <c r="F41" s="132">
        <f t="shared" si="15"/>
        <v>158.39999999999998</v>
      </c>
      <c r="G41" s="132">
        <f t="shared" si="15"/>
        <v>158.39999999999998</v>
      </c>
      <c r="H41" s="132">
        <f t="shared" si="15"/>
        <v>158.39999999999998</v>
      </c>
      <c r="I41" s="132">
        <f t="shared" si="15"/>
        <v>158.39999999999998</v>
      </c>
      <c r="J41" s="132">
        <f t="shared" si="15"/>
        <v>158.39999999999998</v>
      </c>
      <c r="K41" s="132">
        <f t="shared" si="15"/>
        <v>158.39999999999998</v>
      </c>
      <c r="L41" s="132">
        <f t="shared" si="15"/>
        <v>158.39999999999998</v>
      </c>
      <c r="M41" s="132">
        <f t="shared" si="15"/>
        <v>158.39999999999998</v>
      </c>
      <c r="N41" s="44"/>
    </row>
    <row r="42" spans="1:16" x14ac:dyDescent="0.2">
      <c r="A42" s="44"/>
      <c r="B42" s="45"/>
      <c r="C42" s="45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44"/>
    </row>
    <row r="43" spans="1:16" x14ac:dyDescent="0.2">
      <c r="A43" s="47" t="str">
        <f>A19</f>
        <v>Objem vody dodané</v>
      </c>
      <c r="B43" s="32"/>
      <c r="C43" s="32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44"/>
    </row>
    <row r="44" spans="1:16" x14ac:dyDescent="0.2">
      <c r="A44" s="26" t="str">
        <f>A20</f>
        <v xml:space="preserve"> - domácnosti</v>
      </c>
      <c r="B44" s="27" t="s">
        <v>119</v>
      </c>
      <c r="C44" s="27"/>
      <c r="D44" s="131">
        <v>0</v>
      </c>
      <c r="E44" s="131">
        <f>D44</f>
        <v>0</v>
      </c>
      <c r="F44" s="131">
        <f t="shared" ref="F44:M44" si="16">E44</f>
        <v>0</v>
      </c>
      <c r="G44" s="131">
        <f t="shared" si="16"/>
        <v>0</v>
      </c>
      <c r="H44" s="131">
        <f t="shared" si="16"/>
        <v>0</v>
      </c>
      <c r="I44" s="131">
        <f t="shared" si="16"/>
        <v>0</v>
      </c>
      <c r="J44" s="131">
        <f t="shared" si="16"/>
        <v>0</v>
      </c>
      <c r="K44" s="131">
        <f t="shared" si="16"/>
        <v>0</v>
      </c>
      <c r="L44" s="131">
        <f t="shared" si="16"/>
        <v>0</v>
      </c>
      <c r="M44" s="131">
        <f t="shared" si="16"/>
        <v>0</v>
      </c>
      <c r="N44" s="44"/>
    </row>
    <row r="45" spans="1:16" x14ac:dyDescent="0.2">
      <c r="A45" s="31" t="str">
        <f>A21</f>
        <v xml:space="preserve"> - ostatní</v>
      </c>
      <c r="B45" s="74" t="s">
        <v>119</v>
      </c>
      <c r="C45" s="74"/>
      <c r="D45" s="132">
        <f>D46-D44</f>
        <v>120</v>
      </c>
      <c r="E45" s="132">
        <f t="shared" ref="E45:M45" si="17">E46-E44</f>
        <v>120</v>
      </c>
      <c r="F45" s="132">
        <f t="shared" si="17"/>
        <v>120</v>
      </c>
      <c r="G45" s="132">
        <f t="shared" si="17"/>
        <v>120</v>
      </c>
      <c r="H45" s="132">
        <f t="shared" si="17"/>
        <v>120</v>
      </c>
      <c r="I45" s="132">
        <f t="shared" si="17"/>
        <v>120</v>
      </c>
      <c r="J45" s="132">
        <f t="shared" si="17"/>
        <v>120</v>
      </c>
      <c r="K45" s="132">
        <f t="shared" si="17"/>
        <v>120</v>
      </c>
      <c r="L45" s="132">
        <f t="shared" si="17"/>
        <v>120</v>
      </c>
      <c r="M45" s="132">
        <f t="shared" si="17"/>
        <v>120</v>
      </c>
      <c r="N45" s="44"/>
    </row>
    <row r="46" spans="1:16" x14ac:dyDescent="0.2">
      <c r="A46" s="26" t="str">
        <f>A22</f>
        <v>Objem vody dodané - celkem</v>
      </c>
      <c r="B46" s="27" t="s">
        <v>119</v>
      </c>
      <c r="C46" s="27"/>
      <c r="D46" s="131">
        <v>120</v>
      </c>
      <c r="E46" s="131">
        <f>D46</f>
        <v>120</v>
      </c>
      <c r="F46" s="131">
        <f t="shared" ref="F46:M46" si="18">E46</f>
        <v>120</v>
      </c>
      <c r="G46" s="131">
        <f t="shared" si="18"/>
        <v>120</v>
      </c>
      <c r="H46" s="131">
        <f t="shared" si="18"/>
        <v>120</v>
      </c>
      <c r="I46" s="131">
        <f t="shared" si="18"/>
        <v>120</v>
      </c>
      <c r="J46" s="131">
        <f t="shared" si="18"/>
        <v>120</v>
      </c>
      <c r="K46" s="131">
        <f t="shared" si="18"/>
        <v>120</v>
      </c>
      <c r="L46" s="131">
        <f t="shared" si="18"/>
        <v>120</v>
      </c>
      <c r="M46" s="131">
        <f t="shared" si="18"/>
        <v>120</v>
      </c>
      <c r="N46" s="44"/>
    </row>
    <row r="47" spans="1:16" x14ac:dyDescent="0.2">
      <c r="A47" s="44"/>
      <c r="B47" s="45"/>
      <c r="C47" s="45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6" x14ac:dyDescent="0.2">
      <c r="A48" s="47" t="s">
        <v>168</v>
      </c>
      <c r="B48" s="32"/>
      <c r="C48" s="32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44"/>
    </row>
    <row r="49" spans="1:16" x14ac:dyDescent="0.2">
      <c r="A49" s="26" t="str">
        <f>A25</f>
        <v>1.1 surová voda podzemní + povrchová</v>
      </c>
      <c r="B49" s="27" t="s">
        <v>89</v>
      </c>
      <c r="C49" s="27"/>
      <c r="D49" s="51">
        <v>2.1158552492489147</v>
      </c>
      <c r="E49" s="51">
        <f>D49</f>
        <v>2.1158552492489147</v>
      </c>
      <c r="F49" s="51">
        <f t="shared" ref="F49:M49" si="19">E49</f>
        <v>2.1158552492489147</v>
      </c>
      <c r="G49" s="51">
        <f t="shared" si="19"/>
        <v>2.1158552492489147</v>
      </c>
      <c r="H49" s="51">
        <f t="shared" si="19"/>
        <v>2.1158552492489147</v>
      </c>
      <c r="I49" s="51">
        <f t="shared" si="19"/>
        <v>2.1158552492489147</v>
      </c>
      <c r="J49" s="51">
        <f t="shared" si="19"/>
        <v>2.1158552492489147</v>
      </c>
      <c r="K49" s="51">
        <f t="shared" si="19"/>
        <v>2.1158552492489147</v>
      </c>
      <c r="L49" s="51">
        <f t="shared" si="19"/>
        <v>2.1158552492489147</v>
      </c>
      <c r="M49" s="51">
        <f t="shared" si="19"/>
        <v>2.1158552492489147</v>
      </c>
      <c r="N49" s="44"/>
    </row>
    <row r="50" spans="1:16" x14ac:dyDescent="0.2">
      <c r="A50" s="26" t="str">
        <f>A26</f>
        <v>1.2 pitná voda převzatá</v>
      </c>
      <c r="B50" s="27" t="s">
        <v>89</v>
      </c>
      <c r="C50" s="27"/>
      <c r="D50" s="51">
        <f>D26</f>
        <v>15.54</v>
      </c>
      <c r="E50" s="133">
        <f t="shared" ref="E50:M50" si="20">D50*(1+$O$26)</f>
        <v>15.8508</v>
      </c>
      <c r="F50" s="133">
        <f t="shared" si="20"/>
        <v>16.167815999999998</v>
      </c>
      <c r="G50" s="133">
        <f t="shared" si="20"/>
        <v>16.49117232</v>
      </c>
      <c r="H50" s="133">
        <f t="shared" si="20"/>
        <v>16.820995766399999</v>
      </c>
      <c r="I50" s="133">
        <f t="shared" si="20"/>
        <v>17.157415681728001</v>
      </c>
      <c r="J50" s="133">
        <f t="shared" si="20"/>
        <v>17.500563995362562</v>
      </c>
      <c r="K50" s="133">
        <f t="shared" si="20"/>
        <v>17.850575275269815</v>
      </c>
      <c r="L50" s="133">
        <f t="shared" si="20"/>
        <v>18.207586780775213</v>
      </c>
      <c r="M50" s="133">
        <f t="shared" si="20"/>
        <v>18.571738516390717</v>
      </c>
      <c r="N50" s="44"/>
      <c r="O50" s="129">
        <f>O26</f>
        <v>0.02</v>
      </c>
      <c r="P50" s="129" t="str">
        <f>P11</f>
        <v>meziroční nárůst</v>
      </c>
    </row>
    <row r="51" spans="1:16" x14ac:dyDescent="0.2">
      <c r="A51" s="26" t="str">
        <f>A27</f>
        <v>1.3 chemikálie</v>
      </c>
      <c r="B51" s="27" t="s">
        <v>89</v>
      </c>
      <c r="C51" s="27"/>
      <c r="D51" s="51">
        <v>0.15476994450317125</v>
      </c>
      <c r="E51" s="51">
        <f>D51</f>
        <v>0.15476994450317125</v>
      </c>
      <c r="F51" s="51">
        <f t="shared" ref="F51:M51" si="21">E51</f>
        <v>0.15476994450317125</v>
      </c>
      <c r="G51" s="51">
        <f t="shared" si="21"/>
        <v>0.15476994450317125</v>
      </c>
      <c r="H51" s="51">
        <f t="shared" si="21"/>
        <v>0.15476994450317125</v>
      </c>
      <c r="I51" s="51">
        <f t="shared" si="21"/>
        <v>0.15476994450317125</v>
      </c>
      <c r="J51" s="51">
        <f t="shared" si="21"/>
        <v>0.15476994450317125</v>
      </c>
      <c r="K51" s="51">
        <f t="shared" si="21"/>
        <v>0.15476994450317125</v>
      </c>
      <c r="L51" s="51">
        <f t="shared" si="21"/>
        <v>0.15476994450317125</v>
      </c>
      <c r="M51" s="51">
        <f t="shared" si="21"/>
        <v>0.15476994450317125</v>
      </c>
      <c r="N51" s="44"/>
    </row>
    <row r="52" spans="1:16" x14ac:dyDescent="0.2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5" spans="1:16" x14ac:dyDescent="0.2">
      <c r="A55" s="2" t="s">
        <v>210</v>
      </c>
    </row>
  </sheetData>
  <sheetProtection password="C99A" sheet="1" objects="1" scenarios="1"/>
  <pageMargins left="0.7" right="0.7" top="0.78740157499999996" bottom="0.78740157499999996" header="0.3" footer="0.3"/>
  <pageSetup paperSize="9" scale="54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P116"/>
  <sheetViews>
    <sheetView view="pageBreakPreview" topLeftCell="A16" zoomScaleNormal="100" zoomScaleSheetLayoutView="100" workbookViewId="0">
      <selection activeCell="D52" sqref="D52"/>
    </sheetView>
  </sheetViews>
  <sheetFormatPr defaultRowHeight="11.25" x14ac:dyDescent="0.2"/>
  <cols>
    <col min="1" max="1" width="50.5703125" style="2" bestFit="1" customWidth="1"/>
    <col min="2" max="2" width="9.140625" style="25"/>
    <col min="3" max="3" width="9.140625" style="2"/>
    <col min="4" max="4" width="9.28515625" style="2" customWidth="1"/>
    <col min="5" max="12" width="9.28515625" style="2" bestFit="1" customWidth="1"/>
    <col min="13" max="13" width="9.28515625" style="2" customWidth="1"/>
    <col min="14" max="14" width="2.28515625" style="2" customWidth="1"/>
    <col min="15" max="15" width="48.5703125" style="2" bestFit="1" customWidth="1"/>
    <col min="16" max="16" width="9.140625" style="25"/>
    <col min="17" max="16384" width="9.140625" style="2"/>
  </cols>
  <sheetData>
    <row r="1" spans="1:16" ht="15.75" x14ac:dyDescent="0.25">
      <c r="A1" s="38" t="s">
        <v>131</v>
      </c>
    </row>
    <row r="3" spans="1:16" s="17" customFormat="1" ht="13.5" thickBot="1" x14ac:dyDescent="0.25">
      <c r="A3" s="33" t="s">
        <v>198</v>
      </c>
      <c r="B3" s="32"/>
      <c r="C3" s="47">
        <v>2013</v>
      </c>
      <c r="D3" s="47">
        <f>'vstupy zadavatele'!D9</f>
        <v>2016</v>
      </c>
      <c r="E3" s="47">
        <f>'vstupy zadavatele'!E9</f>
        <v>2017</v>
      </c>
      <c r="F3" s="47">
        <f>'vstupy zadavatele'!F9</f>
        <v>2018</v>
      </c>
      <c r="G3" s="47">
        <f>'vstupy zadavatele'!G9</f>
        <v>2019</v>
      </c>
      <c r="H3" s="47">
        <f>'vstupy zadavatele'!H9</f>
        <v>2020</v>
      </c>
      <c r="I3" s="47">
        <f>'vstupy zadavatele'!I9</f>
        <v>2021</v>
      </c>
      <c r="J3" s="47">
        <f>'vstupy zadavatele'!J9</f>
        <v>2022</v>
      </c>
      <c r="K3" s="47">
        <f>'vstupy zadavatele'!K9</f>
        <v>2023</v>
      </c>
      <c r="L3" s="47">
        <f>'vstupy zadavatele'!L9</f>
        <v>2024</v>
      </c>
      <c r="M3" s="47">
        <f>'vstupy zadavatele'!M9</f>
        <v>2025</v>
      </c>
      <c r="P3" s="32"/>
    </row>
    <row r="4" spans="1:16" ht="12" thickTop="1" x14ac:dyDescent="0.2">
      <c r="A4" s="28"/>
      <c r="B4" s="29"/>
      <c r="C4" s="28"/>
      <c r="D4" s="53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ht="12.75" x14ac:dyDescent="0.2">
      <c r="A5" s="33" t="s">
        <v>132</v>
      </c>
      <c r="B5" s="32"/>
      <c r="C5" s="41" t="s">
        <v>149</v>
      </c>
      <c r="D5" s="54" t="s">
        <v>150</v>
      </c>
      <c r="E5" s="348" t="s">
        <v>153</v>
      </c>
      <c r="F5" s="348"/>
      <c r="G5" s="348"/>
      <c r="H5" s="348"/>
      <c r="I5" s="348"/>
      <c r="J5" s="348"/>
      <c r="K5" s="348"/>
      <c r="L5" s="348"/>
      <c r="M5" s="348"/>
      <c r="N5" s="28"/>
    </row>
    <row r="6" spans="1:16" x14ac:dyDescent="0.2">
      <c r="A6" s="39" t="s">
        <v>133</v>
      </c>
      <c r="B6" s="30" t="s">
        <v>116</v>
      </c>
      <c r="C6" s="50">
        <v>150</v>
      </c>
      <c r="D6" s="55">
        <v>24</v>
      </c>
      <c r="E6" s="36">
        <f t="shared" ref="E6:M16" si="0">$D6</f>
        <v>24</v>
      </c>
      <c r="F6" s="36">
        <f t="shared" si="0"/>
        <v>24</v>
      </c>
      <c r="G6" s="36">
        <f t="shared" si="0"/>
        <v>24</v>
      </c>
      <c r="H6" s="36">
        <f t="shared" si="0"/>
        <v>24</v>
      </c>
      <c r="I6" s="36">
        <f t="shared" si="0"/>
        <v>24</v>
      </c>
      <c r="J6" s="36">
        <f t="shared" si="0"/>
        <v>24</v>
      </c>
      <c r="K6" s="36">
        <f t="shared" si="0"/>
        <v>24</v>
      </c>
      <c r="L6" s="36">
        <f t="shared" si="0"/>
        <v>24</v>
      </c>
      <c r="M6" s="36">
        <f t="shared" si="0"/>
        <v>24</v>
      </c>
      <c r="N6" s="28"/>
    </row>
    <row r="7" spans="1:16" x14ac:dyDescent="0.2">
      <c r="A7" s="39" t="s">
        <v>134</v>
      </c>
      <c r="B7" s="30" t="s">
        <v>116</v>
      </c>
      <c r="C7" s="50">
        <v>0</v>
      </c>
      <c r="D7" s="55">
        <v>0</v>
      </c>
      <c r="E7" s="36">
        <f>$D7</f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  <c r="N7" s="28"/>
    </row>
    <row r="8" spans="1:16" x14ac:dyDescent="0.2">
      <c r="A8" s="39" t="s">
        <v>135</v>
      </c>
      <c r="B8" s="30" t="s">
        <v>116</v>
      </c>
      <c r="C8" s="50">
        <v>3700</v>
      </c>
      <c r="D8" s="55">
        <v>2271</v>
      </c>
      <c r="E8" s="36">
        <f t="shared" ref="E8:M16" si="1">$D8</f>
        <v>2271</v>
      </c>
      <c r="F8" s="36">
        <f t="shared" si="0"/>
        <v>2271</v>
      </c>
      <c r="G8" s="36">
        <f t="shared" si="0"/>
        <v>2271</v>
      </c>
      <c r="H8" s="36">
        <f t="shared" si="0"/>
        <v>2271</v>
      </c>
      <c r="I8" s="36">
        <f t="shared" si="0"/>
        <v>2271</v>
      </c>
      <c r="J8" s="36">
        <f t="shared" si="0"/>
        <v>2271</v>
      </c>
      <c r="K8" s="36">
        <f t="shared" si="0"/>
        <v>2271</v>
      </c>
      <c r="L8" s="36">
        <f t="shared" si="0"/>
        <v>2271</v>
      </c>
      <c r="M8" s="36">
        <f t="shared" si="0"/>
        <v>2271</v>
      </c>
      <c r="N8" s="28"/>
    </row>
    <row r="9" spans="1:16" x14ac:dyDescent="0.2">
      <c r="A9" s="39" t="s">
        <v>136</v>
      </c>
      <c r="B9" s="30" t="s">
        <v>116</v>
      </c>
      <c r="C9" s="50">
        <v>1560</v>
      </c>
      <c r="D9" s="55">
        <v>924</v>
      </c>
      <c r="E9" s="36">
        <f t="shared" si="1"/>
        <v>924</v>
      </c>
      <c r="F9" s="36">
        <f t="shared" si="0"/>
        <v>924</v>
      </c>
      <c r="G9" s="36">
        <f t="shared" si="0"/>
        <v>924</v>
      </c>
      <c r="H9" s="36">
        <f t="shared" si="0"/>
        <v>924</v>
      </c>
      <c r="I9" s="36">
        <f t="shared" si="0"/>
        <v>924</v>
      </c>
      <c r="J9" s="36">
        <f t="shared" si="0"/>
        <v>924</v>
      </c>
      <c r="K9" s="36">
        <f t="shared" si="0"/>
        <v>924</v>
      </c>
      <c r="L9" s="36">
        <f t="shared" si="0"/>
        <v>924</v>
      </c>
      <c r="M9" s="36">
        <f t="shared" si="0"/>
        <v>924</v>
      </c>
      <c r="N9" s="28"/>
    </row>
    <row r="10" spans="1:16" x14ac:dyDescent="0.2">
      <c r="A10" s="39" t="s">
        <v>137</v>
      </c>
      <c r="B10" s="30" t="s">
        <v>116</v>
      </c>
      <c r="C10" s="50">
        <v>12900</v>
      </c>
      <c r="D10" s="55">
        <v>9950</v>
      </c>
      <c r="E10" s="36">
        <f t="shared" si="1"/>
        <v>9950</v>
      </c>
      <c r="F10" s="36">
        <f t="shared" si="0"/>
        <v>9950</v>
      </c>
      <c r="G10" s="36">
        <f t="shared" si="0"/>
        <v>9950</v>
      </c>
      <c r="H10" s="36">
        <f t="shared" si="0"/>
        <v>9950</v>
      </c>
      <c r="I10" s="36">
        <f t="shared" si="0"/>
        <v>9950</v>
      </c>
      <c r="J10" s="36">
        <f t="shared" si="0"/>
        <v>9950</v>
      </c>
      <c r="K10" s="36">
        <f t="shared" si="0"/>
        <v>9950</v>
      </c>
      <c r="L10" s="36">
        <f t="shared" si="0"/>
        <v>9950</v>
      </c>
      <c r="M10" s="36">
        <f t="shared" si="0"/>
        <v>9950</v>
      </c>
      <c r="N10" s="28"/>
    </row>
    <row r="11" spans="1:16" x14ac:dyDescent="0.2">
      <c r="A11" s="39" t="s">
        <v>276</v>
      </c>
      <c r="B11" s="30" t="s">
        <v>116</v>
      </c>
      <c r="C11" s="50">
        <v>0</v>
      </c>
      <c r="D11" s="55">
        <v>0</v>
      </c>
      <c r="E11" s="36">
        <f t="shared" si="1"/>
        <v>0</v>
      </c>
      <c r="F11" s="36">
        <f t="shared" si="1"/>
        <v>0</v>
      </c>
      <c r="G11" s="36">
        <f t="shared" si="1"/>
        <v>0</v>
      </c>
      <c r="H11" s="36">
        <f t="shared" si="1"/>
        <v>0</v>
      </c>
      <c r="I11" s="36">
        <f t="shared" si="1"/>
        <v>0</v>
      </c>
      <c r="J11" s="36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28"/>
    </row>
    <row r="12" spans="1:16" x14ac:dyDescent="0.2">
      <c r="A12" s="39" t="s">
        <v>277</v>
      </c>
      <c r="B12" s="30" t="s">
        <v>116</v>
      </c>
      <c r="C12" s="50">
        <v>2700</v>
      </c>
      <c r="D12" s="55">
        <v>1624</v>
      </c>
      <c r="E12" s="36">
        <f t="shared" si="1"/>
        <v>1624</v>
      </c>
      <c r="F12" s="36">
        <f t="shared" si="1"/>
        <v>1624</v>
      </c>
      <c r="G12" s="36">
        <f t="shared" si="1"/>
        <v>1624</v>
      </c>
      <c r="H12" s="36">
        <f t="shared" si="1"/>
        <v>1624</v>
      </c>
      <c r="I12" s="36">
        <f t="shared" si="1"/>
        <v>1624</v>
      </c>
      <c r="J12" s="36">
        <f t="shared" si="1"/>
        <v>1624</v>
      </c>
      <c r="K12" s="36">
        <f t="shared" si="1"/>
        <v>1624</v>
      </c>
      <c r="L12" s="36">
        <f t="shared" si="1"/>
        <v>1624</v>
      </c>
      <c r="M12" s="36">
        <f t="shared" si="1"/>
        <v>1624</v>
      </c>
      <c r="N12" s="28"/>
    </row>
    <row r="13" spans="1:16" x14ac:dyDescent="0.2">
      <c r="A13" s="39" t="s">
        <v>278</v>
      </c>
      <c r="B13" s="30" t="s">
        <v>116</v>
      </c>
      <c r="C13" s="50">
        <v>3389.84</v>
      </c>
      <c r="D13" s="55">
        <v>1942</v>
      </c>
      <c r="E13" s="36">
        <f t="shared" si="1"/>
        <v>1942</v>
      </c>
      <c r="F13" s="36">
        <f t="shared" si="1"/>
        <v>1942</v>
      </c>
      <c r="G13" s="36">
        <f t="shared" si="1"/>
        <v>1942</v>
      </c>
      <c r="H13" s="36">
        <f t="shared" si="1"/>
        <v>1942</v>
      </c>
      <c r="I13" s="36">
        <f t="shared" si="1"/>
        <v>1942</v>
      </c>
      <c r="J13" s="36">
        <f t="shared" si="1"/>
        <v>1942</v>
      </c>
      <c r="K13" s="36">
        <f t="shared" si="1"/>
        <v>1942</v>
      </c>
      <c r="L13" s="36">
        <f t="shared" si="1"/>
        <v>1942</v>
      </c>
      <c r="M13" s="36">
        <f t="shared" si="1"/>
        <v>1942</v>
      </c>
      <c r="N13" s="28"/>
    </row>
    <row r="14" spans="1:16" x14ac:dyDescent="0.2">
      <c r="A14" s="39" t="s">
        <v>281</v>
      </c>
      <c r="B14" s="30" t="s">
        <v>116</v>
      </c>
      <c r="C14" s="50">
        <v>0</v>
      </c>
      <c r="D14" s="55">
        <v>166</v>
      </c>
      <c r="E14" s="36">
        <f t="shared" si="1"/>
        <v>166</v>
      </c>
      <c r="F14" s="36">
        <f t="shared" si="1"/>
        <v>166</v>
      </c>
      <c r="G14" s="36">
        <f t="shared" si="1"/>
        <v>166</v>
      </c>
      <c r="H14" s="36">
        <f t="shared" si="1"/>
        <v>166</v>
      </c>
      <c r="I14" s="36">
        <f t="shared" si="1"/>
        <v>166</v>
      </c>
      <c r="J14" s="36">
        <f t="shared" si="1"/>
        <v>166</v>
      </c>
      <c r="K14" s="36">
        <f t="shared" si="1"/>
        <v>166</v>
      </c>
      <c r="L14" s="36">
        <f t="shared" si="1"/>
        <v>166</v>
      </c>
      <c r="M14" s="36">
        <f t="shared" si="1"/>
        <v>166</v>
      </c>
      <c r="N14" s="28"/>
    </row>
    <row r="15" spans="1:16" x14ac:dyDescent="0.2">
      <c r="A15" s="39" t="s">
        <v>279</v>
      </c>
      <c r="B15" s="30" t="s">
        <v>116</v>
      </c>
      <c r="C15" s="50">
        <v>1162.605</v>
      </c>
      <c r="D15" s="55">
        <v>1161</v>
      </c>
      <c r="E15" s="36">
        <f t="shared" si="1"/>
        <v>1161</v>
      </c>
      <c r="F15" s="36">
        <f t="shared" si="0"/>
        <v>1161</v>
      </c>
      <c r="G15" s="36">
        <f t="shared" si="0"/>
        <v>1161</v>
      </c>
      <c r="H15" s="36">
        <f t="shared" si="0"/>
        <v>1161</v>
      </c>
      <c r="I15" s="36">
        <f t="shared" si="0"/>
        <v>1161</v>
      </c>
      <c r="J15" s="36">
        <f t="shared" si="0"/>
        <v>1161</v>
      </c>
      <c r="K15" s="36">
        <f t="shared" si="0"/>
        <v>1161</v>
      </c>
      <c r="L15" s="36">
        <f t="shared" si="0"/>
        <v>1161</v>
      </c>
      <c r="M15" s="36">
        <f t="shared" si="0"/>
        <v>1161</v>
      </c>
      <c r="N15" s="28"/>
    </row>
    <row r="16" spans="1:16" x14ac:dyDescent="0.2">
      <c r="A16" s="39" t="s">
        <v>280</v>
      </c>
      <c r="B16" s="30" t="s">
        <v>116</v>
      </c>
      <c r="C16" s="50">
        <v>4420</v>
      </c>
      <c r="D16" s="55">
        <v>4420</v>
      </c>
      <c r="E16" s="36">
        <f t="shared" si="1"/>
        <v>4420</v>
      </c>
      <c r="F16" s="36">
        <f t="shared" si="0"/>
        <v>4420</v>
      </c>
      <c r="G16" s="36">
        <f t="shared" si="0"/>
        <v>4420</v>
      </c>
      <c r="H16" s="36">
        <f t="shared" si="0"/>
        <v>4420</v>
      </c>
      <c r="I16" s="36">
        <f t="shared" si="0"/>
        <v>4420</v>
      </c>
      <c r="J16" s="36">
        <f t="shared" si="0"/>
        <v>4420</v>
      </c>
      <c r="K16" s="36">
        <f t="shared" si="0"/>
        <v>4420</v>
      </c>
      <c r="L16" s="36">
        <f t="shared" si="0"/>
        <v>4420</v>
      </c>
      <c r="M16" s="36">
        <f t="shared" si="0"/>
        <v>4420</v>
      </c>
      <c r="N16" s="28"/>
    </row>
    <row r="17" spans="1:15" x14ac:dyDescent="0.2">
      <c r="A17" s="28"/>
      <c r="B17" s="29"/>
      <c r="C17" s="28"/>
      <c r="D17" s="56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5" ht="12.75" x14ac:dyDescent="0.2">
      <c r="A18" s="33" t="s">
        <v>141</v>
      </c>
      <c r="B18" s="32"/>
      <c r="C18" s="41" t="str">
        <f>C5</f>
        <v>historicky</v>
      </c>
      <c r="D18" s="54" t="str">
        <f>D5</f>
        <v>nabídka</v>
      </c>
      <c r="E18" s="348" t="str">
        <f>$E$5</f>
        <v>prognóza</v>
      </c>
      <c r="F18" s="348"/>
      <c r="G18" s="348"/>
      <c r="H18" s="348"/>
      <c r="I18" s="348"/>
      <c r="J18" s="348"/>
      <c r="K18" s="348"/>
      <c r="L18" s="348"/>
      <c r="M18" s="348"/>
      <c r="N18" s="28"/>
    </row>
    <row r="19" spans="1:15" x14ac:dyDescent="0.2">
      <c r="A19" s="39" t="s">
        <v>142</v>
      </c>
      <c r="B19" s="30" t="s">
        <v>89</v>
      </c>
      <c r="C19" s="51">
        <v>2.2095959595959593</v>
      </c>
      <c r="D19" s="124">
        <v>2.19</v>
      </c>
      <c r="E19" s="75">
        <f t="shared" ref="E19:M20" si="2">$D19</f>
        <v>2.19</v>
      </c>
      <c r="F19" s="75">
        <f t="shared" si="2"/>
        <v>2.19</v>
      </c>
      <c r="G19" s="75">
        <f t="shared" si="2"/>
        <v>2.19</v>
      </c>
      <c r="H19" s="75">
        <f t="shared" si="2"/>
        <v>2.19</v>
      </c>
      <c r="I19" s="75">
        <f t="shared" si="2"/>
        <v>2.19</v>
      </c>
      <c r="J19" s="75">
        <f t="shared" si="2"/>
        <v>2.19</v>
      </c>
      <c r="K19" s="75">
        <f t="shared" si="2"/>
        <v>2.19</v>
      </c>
      <c r="L19" s="75">
        <f t="shared" si="2"/>
        <v>2.19</v>
      </c>
      <c r="M19" s="75">
        <f t="shared" si="2"/>
        <v>2.19</v>
      </c>
      <c r="N19" s="28"/>
    </row>
    <row r="20" spans="1:15" x14ac:dyDescent="0.2">
      <c r="A20" s="39"/>
      <c r="B20" s="30" t="s">
        <v>116</v>
      </c>
      <c r="C20" s="37">
        <f>C19*'vstupy zadavatele'!D17</f>
        <v>5249.9999999999991</v>
      </c>
      <c r="D20" s="57">
        <f>D19*'vstupy zadavatele'!D17</f>
        <v>5203.4399999999996</v>
      </c>
      <c r="E20" s="36">
        <f t="shared" si="2"/>
        <v>5203.4399999999996</v>
      </c>
      <c r="F20" s="36">
        <f t="shared" si="2"/>
        <v>5203.4399999999996</v>
      </c>
      <c r="G20" s="36">
        <f t="shared" si="2"/>
        <v>5203.4399999999996</v>
      </c>
      <c r="H20" s="36">
        <f t="shared" si="2"/>
        <v>5203.4399999999996</v>
      </c>
      <c r="I20" s="36">
        <f t="shared" si="2"/>
        <v>5203.4399999999996</v>
      </c>
      <c r="J20" s="36">
        <f t="shared" si="2"/>
        <v>5203.4399999999996</v>
      </c>
      <c r="K20" s="36">
        <f t="shared" si="2"/>
        <v>5203.4399999999996</v>
      </c>
      <c r="L20" s="36">
        <f t="shared" si="2"/>
        <v>5203.4399999999996</v>
      </c>
      <c r="M20" s="36">
        <f t="shared" si="2"/>
        <v>5203.4399999999996</v>
      </c>
      <c r="N20" s="28"/>
    </row>
    <row r="21" spans="1:15" x14ac:dyDescent="0.2">
      <c r="A21" s="28"/>
      <c r="B21" s="29"/>
      <c r="C21" s="28"/>
      <c r="D21" s="56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5" ht="12.75" x14ac:dyDescent="0.2">
      <c r="A22" s="33" t="s">
        <v>152</v>
      </c>
      <c r="B22" s="32"/>
      <c r="C22" s="41" t="str">
        <f>C5</f>
        <v>historicky</v>
      </c>
      <c r="D22" s="69" t="str">
        <f>$D$5</f>
        <v>nabídka</v>
      </c>
      <c r="E22" s="346" t="str">
        <f t="shared" ref="E22:M22" si="3">$D$5</f>
        <v>nabídka</v>
      </c>
      <c r="F22" s="347" t="str">
        <f t="shared" si="3"/>
        <v>nabídka</v>
      </c>
      <c r="G22" s="347" t="str">
        <f t="shared" si="3"/>
        <v>nabídka</v>
      </c>
      <c r="H22" s="347" t="str">
        <f t="shared" si="3"/>
        <v>nabídka</v>
      </c>
      <c r="I22" s="347" t="str">
        <f t="shared" si="3"/>
        <v>nabídka</v>
      </c>
      <c r="J22" s="347" t="str">
        <f t="shared" si="3"/>
        <v>nabídka</v>
      </c>
      <c r="K22" s="347" t="str">
        <f t="shared" si="3"/>
        <v>nabídka</v>
      </c>
      <c r="L22" s="347" t="str">
        <f t="shared" si="3"/>
        <v>nabídka</v>
      </c>
      <c r="M22" s="347" t="str">
        <f t="shared" si="3"/>
        <v>nabídka</v>
      </c>
      <c r="N22" s="28"/>
    </row>
    <row r="23" spans="1:15" x14ac:dyDescent="0.2">
      <c r="A23" s="39" t="s">
        <v>160</v>
      </c>
      <c r="B23" s="30" t="s">
        <v>130</v>
      </c>
      <c r="C23" s="51">
        <v>1.32</v>
      </c>
      <c r="D23" s="125">
        <v>1.32</v>
      </c>
      <c r="E23" s="297">
        <f t="shared" ref="E23:M23" si="4">D23</f>
        <v>1.32</v>
      </c>
      <c r="F23" s="298">
        <f t="shared" si="4"/>
        <v>1.32</v>
      </c>
      <c r="G23" s="298">
        <f t="shared" si="4"/>
        <v>1.32</v>
      </c>
      <c r="H23" s="298">
        <f t="shared" si="4"/>
        <v>1.32</v>
      </c>
      <c r="I23" s="298">
        <f t="shared" si="4"/>
        <v>1.32</v>
      </c>
      <c r="J23" s="298">
        <f t="shared" si="4"/>
        <v>1.32</v>
      </c>
      <c r="K23" s="298">
        <f t="shared" si="4"/>
        <v>1.32</v>
      </c>
      <c r="L23" s="298">
        <f t="shared" si="4"/>
        <v>1.32</v>
      </c>
      <c r="M23" s="298">
        <f t="shared" si="4"/>
        <v>1.32</v>
      </c>
      <c r="N23" s="28"/>
      <c r="O23" s="24"/>
    </row>
    <row r="24" spans="1:15" x14ac:dyDescent="0.2">
      <c r="A24" s="28"/>
      <c r="B24" s="29"/>
      <c r="C24" s="35"/>
      <c r="D24" s="58"/>
      <c r="E24" s="42"/>
      <c r="F24" s="42"/>
      <c r="G24" s="42"/>
      <c r="H24" s="42"/>
      <c r="I24" s="42"/>
      <c r="J24" s="42"/>
      <c r="K24" s="42"/>
      <c r="L24" s="42"/>
      <c r="M24" s="42"/>
      <c r="N24" s="28"/>
    </row>
    <row r="25" spans="1:15" ht="12.75" x14ac:dyDescent="0.2">
      <c r="A25" s="33" t="s">
        <v>161</v>
      </c>
      <c r="B25" s="32">
        <f>'vstupy zadavatele'!D30</f>
        <v>7306</v>
      </c>
      <c r="C25" s="41" t="str">
        <f>C5</f>
        <v>historicky</v>
      </c>
      <c r="D25" s="54" t="str">
        <f>D5</f>
        <v>nabídka</v>
      </c>
      <c r="E25" s="348" t="str">
        <f>$E$5</f>
        <v>prognóza</v>
      </c>
      <c r="F25" s="348"/>
      <c r="G25" s="348"/>
      <c r="H25" s="348"/>
      <c r="I25" s="348"/>
      <c r="J25" s="348"/>
      <c r="K25" s="348"/>
      <c r="L25" s="348"/>
      <c r="M25" s="348"/>
      <c r="N25" s="28"/>
    </row>
    <row r="26" spans="1:15" x14ac:dyDescent="0.2">
      <c r="A26" s="39" t="s">
        <v>133</v>
      </c>
      <c r="B26" s="30" t="s">
        <v>143</v>
      </c>
      <c r="C26" s="50">
        <f>C6/'vstupy zadavatele'!$D$30*1000</f>
        <v>20.53107035313441</v>
      </c>
      <c r="D26" s="55">
        <v>20.5</v>
      </c>
      <c r="E26" s="36">
        <f t="shared" ref="E26:M35" si="5">$D26</f>
        <v>20.5</v>
      </c>
      <c r="F26" s="36">
        <f t="shared" si="5"/>
        <v>20.5</v>
      </c>
      <c r="G26" s="36">
        <f t="shared" si="5"/>
        <v>20.5</v>
      </c>
      <c r="H26" s="36">
        <f t="shared" si="5"/>
        <v>20.5</v>
      </c>
      <c r="I26" s="36">
        <f t="shared" si="5"/>
        <v>20.5</v>
      </c>
      <c r="J26" s="36">
        <f t="shared" si="5"/>
        <v>20.5</v>
      </c>
      <c r="K26" s="36">
        <f t="shared" si="5"/>
        <v>20.5</v>
      </c>
      <c r="L26" s="36">
        <f t="shared" si="5"/>
        <v>20.5</v>
      </c>
      <c r="M26" s="36">
        <f t="shared" si="5"/>
        <v>20.5</v>
      </c>
      <c r="N26" s="28"/>
      <c r="O26" s="24"/>
    </row>
    <row r="27" spans="1:15" x14ac:dyDescent="0.2">
      <c r="A27" s="39" t="s">
        <v>134</v>
      </c>
      <c r="B27" s="30" t="s">
        <v>143</v>
      </c>
      <c r="C27" s="50">
        <f>C7/'vstupy zadavatele'!$D$30*1000</f>
        <v>0</v>
      </c>
      <c r="D27" s="55">
        <v>0</v>
      </c>
      <c r="E27" s="36">
        <f t="shared" si="5"/>
        <v>0</v>
      </c>
      <c r="F27" s="36">
        <f t="shared" si="5"/>
        <v>0</v>
      </c>
      <c r="G27" s="36">
        <f t="shared" si="5"/>
        <v>0</v>
      </c>
      <c r="H27" s="36">
        <f t="shared" si="5"/>
        <v>0</v>
      </c>
      <c r="I27" s="36">
        <f t="shared" si="5"/>
        <v>0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28"/>
      <c r="O27" s="24"/>
    </row>
    <row r="28" spans="1:15" x14ac:dyDescent="0.2">
      <c r="A28" s="39" t="s">
        <v>135</v>
      </c>
      <c r="B28" s="30" t="s">
        <v>143</v>
      </c>
      <c r="C28" s="50">
        <f>C8/'vstupy zadavatele'!$D$30*1000</f>
        <v>506.43306871064874</v>
      </c>
      <c r="D28" s="55">
        <v>506.4</v>
      </c>
      <c r="E28" s="36">
        <f t="shared" si="5"/>
        <v>506.4</v>
      </c>
      <c r="F28" s="36">
        <f t="shared" si="5"/>
        <v>506.4</v>
      </c>
      <c r="G28" s="36">
        <f t="shared" si="5"/>
        <v>506.4</v>
      </c>
      <c r="H28" s="36">
        <f t="shared" si="5"/>
        <v>506.4</v>
      </c>
      <c r="I28" s="36">
        <f t="shared" si="5"/>
        <v>506.4</v>
      </c>
      <c r="J28" s="36">
        <f t="shared" si="5"/>
        <v>506.4</v>
      </c>
      <c r="K28" s="36">
        <f t="shared" si="5"/>
        <v>506.4</v>
      </c>
      <c r="L28" s="36">
        <f t="shared" si="5"/>
        <v>506.4</v>
      </c>
      <c r="M28" s="36">
        <f t="shared" si="5"/>
        <v>506.4</v>
      </c>
      <c r="N28" s="28"/>
      <c r="O28" s="24"/>
    </row>
    <row r="29" spans="1:15" x14ac:dyDescent="0.2">
      <c r="A29" s="39" t="s">
        <v>136</v>
      </c>
      <c r="B29" s="30" t="s">
        <v>143</v>
      </c>
      <c r="C29" s="50">
        <f>C9/'vstupy zadavatele'!$D$30*1000</f>
        <v>213.52313167259788</v>
      </c>
      <c r="D29" s="55">
        <v>213.5</v>
      </c>
      <c r="E29" s="36">
        <f t="shared" si="5"/>
        <v>213.5</v>
      </c>
      <c r="F29" s="36">
        <f t="shared" si="5"/>
        <v>213.5</v>
      </c>
      <c r="G29" s="36">
        <f t="shared" si="5"/>
        <v>213.5</v>
      </c>
      <c r="H29" s="36">
        <f t="shared" si="5"/>
        <v>213.5</v>
      </c>
      <c r="I29" s="36">
        <f t="shared" si="5"/>
        <v>213.5</v>
      </c>
      <c r="J29" s="36">
        <f t="shared" si="5"/>
        <v>213.5</v>
      </c>
      <c r="K29" s="36">
        <f t="shared" si="5"/>
        <v>213.5</v>
      </c>
      <c r="L29" s="36">
        <f t="shared" si="5"/>
        <v>213.5</v>
      </c>
      <c r="M29" s="36">
        <f t="shared" si="5"/>
        <v>213.5</v>
      </c>
      <c r="N29" s="28"/>
      <c r="O29" s="24"/>
    </row>
    <row r="30" spans="1:15" x14ac:dyDescent="0.2">
      <c r="A30" s="39" t="s">
        <v>137</v>
      </c>
      <c r="B30" s="30" t="s">
        <v>143</v>
      </c>
      <c r="C30" s="50">
        <f>C10/'vstupy zadavatele'!$D$30*1000</f>
        <v>1765.6720503695594</v>
      </c>
      <c r="D30" s="55">
        <v>1765.7</v>
      </c>
      <c r="E30" s="36">
        <f t="shared" si="5"/>
        <v>1765.7</v>
      </c>
      <c r="F30" s="36">
        <f t="shared" si="5"/>
        <v>1765.7</v>
      </c>
      <c r="G30" s="36">
        <f t="shared" si="5"/>
        <v>1765.7</v>
      </c>
      <c r="H30" s="36">
        <f t="shared" si="5"/>
        <v>1765.7</v>
      </c>
      <c r="I30" s="36">
        <f t="shared" si="5"/>
        <v>1765.7</v>
      </c>
      <c r="J30" s="36">
        <f t="shared" si="5"/>
        <v>1765.7</v>
      </c>
      <c r="K30" s="36">
        <f t="shared" si="5"/>
        <v>1765.7</v>
      </c>
      <c r="L30" s="36">
        <f t="shared" si="5"/>
        <v>1765.7</v>
      </c>
      <c r="M30" s="36">
        <f t="shared" si="5"/>
        <v>1765.7</v>
      </c>
      <c r="N30" s="28"/>
      <c r="O30" s="24"/>
    </row>
    <row r="31" spans="1:15" x14ac:dyDescent="0.2">
      <c r="A31" s="39" t="s">
        <v>276</v>
      </c>
      <c r="B31" s="30" t="s">
        <v>143</v>
      </c>
      <c r="C31" s="50">
        <f>C11/'vstupy zadavatele'!$D$30*1000</f>
        <v>0</v>
      </c>
      <c r="D31" s="55">
        <v>0</v>
      </c>
      <c r="E31" s="36">
        <f t="shared" si="5"/>
        <v>0</v>
      </c>
      <c r="F31" s="36">
        <f t="shared" si="5"/>
        <v>0</v>
      </c>
      <c r="G31" s="36">
        <f t="shared" si="5"/>
        <v>0</v>
      </c>
      <c r="H31" s="36">
        <f t="shared" si="5"/>
        <v>0</v>
      </c>
      <c r="I31" s="36">
        <f t="shared" si="5"/>
        <v>0</v>
      </c>
      <c r="J31" s="36">
        <f t="shared" si="5"/>
        <v>0</v>
      </c>
      <c r="K31" s="36">
        <f t="shared" si="5"/>
        <v>0</v>
      </c>
      <c r="L31" s="36">
        <f t="shared" si="5"/>
        <v>0</v>
      </c>
      <c r="M31" s="36">
        <f t="shared" si="5"/>
        <v>0</v>
      </c>
      <c r="N31" s="28"/>
      <c r="O31" s="24"/>
    </row>
    <row r="32" spans="1:15" x14ac:dyDescent="0.2">
      <c r="A32" s="39" t="s">
        <v>277</v>
      </c>
      <c r="B32" s="30" t="s">
        <v>143</v>
      </c>
      <c r="C32" s="50">
        <f>C12/'vstupy zadavatele'!$D$30*1000</f>
        <v>369.55926635641941</v>
      </c>
      <c r="D32" s="55">
        <v>369.6</v>
      </c>
      <c r="E32" s="36">
        <f t="shared" si="5"/>
        <v>369.6</v>
      </c>
      <c r="F32" s="36">
        <f t="shared" si="5"/>
        <v>369.6</v>
      </c>
      <c r="G32" s="36">
        <f t="shared" si="5"/>
        <v>369.6</v>
      </c>
      <c r="H32" s="36">
        <f t="shared" si="5"/>
        <v>369.6</v>
      </c>
      <c r="I32" s="36">
        <f t="shared" si="5"/>
        <v>369.6</v>
      </c>
      <c r="J32" s="36">
        <f t="shared" si="5"/>
        <v>369.6</v>
      </c>
      <c r="K32" s="36">
        <f t="shared" si="5"/>
        <v>369.6</v>
      </c>
      <c r="L32" s="36">
        <f t="shared" si="5"/>
        <v>369.6</v>
      </c>
      <c r="M32" s="36">
        <f t="shared" si="5"/>
        <v>369.6</v>
      </c>
      <c r="N32" s="28"/>
      <c r="O32" s="24"/>
    </row>
    <row r="33" spans="1:16" x14ac:dyDescent="0.2">
      <c r="A33" s="39" t="s">
        <v>278</v>
      </c>
      <c r="B33" s="30" t="s">
        <v>143</v>
      </c>
      <c r="C33" s="50">
        <f>C13/'vstupy zadavatele'!$D$30*1000</f>
        <v>463.98029017246103</v>
      </c>
      <c r="D33" s="55">
        <v>464</v>
      </c>
      <c r="E33" s="36">
        <f t="shared" si="5"/>
        <v>464</v>
      </c>
      <c r="F33" s="36">
        <f t="shared" si="5"/>
        <v>464</v>
      </c>
      <c r="G33" s="36">
        <f t="shared" si="5"/>
        <v>464</v>
      </c>
      <c r="H33" s="36">
        <f t="shared" si="5"/>
        <v>464</v>
      </c>
      <c r="I33" s="36">
        <f t="shared" si="5"/>
        <v>464</v>
      </c>
      <c r="J33" s="36">
        <f t="shared" si="5"/>
        <v>464</v>
      </c>
      <c r="K33" s="36">
        <f t="shared" si="5"/>
        <v>464</v>
      </c>
      <c r="L33" s="36">
        <f t="shared" si="5"/>
        <v>464</v>
      </c>
      <c r="M33" s="36">
        <f t="shared" si="5"/>
        <v>464</v>
      </c>
      <c r="N33" s="28"/>
      <c r="O33" s="24"/>
    </row>
    <row r="34" spans="1:16" x14ac:dyDescent="0.2">
      <c r="A34" s="39" t="s">
        <v>279</v>
      </c>
      <c r="B34" s="30" t="s">
        <v>143</v>
      </c>
      <c r="C34" s="50">
        <f>C15/'vstupy zadavatele'!$D$30*1000</f>
        <v>159.13016698603889</v>
      </c>
      <c r="D34" s="55">
        <v>159.1</v>
      </c>
      <c r="E34" s="36">
        <f t="shared" si="5"/>
        <v>159.1</v>
      </c>
      <c r="F34" s="36">
        <f t="shared" si="5"/>
        <v>159.1</v>
      </c>
      <c r="G34" s="36">
        <f t="shared" si="5"/>
        <v>159.1</v>
      </c>
      <c r="H34" s="36">
        <f t="shared" si="5"/>
        <v>159.1</v>
      </c>
      <c r="I34" s="36">
        <f t="shared" si="5"/>
        <v>159.1</v>
      </c>
      <c r="J34" s="36">
        <f t="shared" si="5"/>
        <v>159.1</v>
      </c>
      <c r="K34" s="36">
        <f t="shared" si="5"/>
        <v>159.1</v>
      </c>
      <c r="L34" s="36">
        <f t="shared" si="5"/>
        <v>159.1</v>
      </c>
      <c r="M34" s="36">
        <f t="shared" si="5"/>
        <v>159.1</v>
      </c>
      <c r="N34" s="28"/>
      <c r="O34" s="24"/>
    </row>
    <row r="35" spans="1:16" x14ac:dyDescent="0.2">
      <c r="A35" s="39" t="s">
        <v>280</v>
      </c>
      <c r="B35" s="30" t="s">
        <v>143</v>
      </c>
      <c r="C35" s="50">
        <f>C16/'vstupy zadavatele'!$D$30*1000</f>
        <v>604.982206405694</v>
      </c>
      <c r="D35" s="55">
        <v>605</v>
      </c>
      <c r="E35" s="36">
        <f t="shared" si="5"/>
        <v>605</v>
      </c>
      <c r="F35" s="36">
        <f t="shared" si="5"/>
        <v>605</v>
      </c>
      <c r="G35" s="36">
        <f t="shared" si="5"/>
        <v>605</v>
      </c>
      <c r="H35" s="36">
        <f t="shared" si="5"/>
        <v>605</v>
      </c>
      <c r="I35" s="36">
        <f t="shared" si="5"/>
        <v>605</v>
      </c>
      <c r="J35" s="36">
        <f t="shared" si="5"/>
        <v>605</v>
      </c>
      <c r="K35" s="36">
        <f t="shared" si="5"/>
        <v>605</v>
      </c>
      <c r="L35" s="36">
        <f t="shared" si="5"/>
        <v>605</v>
      </c>
      <c r="M35" s="36">
        <f t="shared" si="5"/>
        <v>605</v>
      </c>
      <c r="N35" s="28"/>
      <c r="O35" s="24"/>
    </row>
    <row r="36" spans="1:16" x14ac:dyDescent="0.2">
      <c r="A36" s="40"/>
      <c r="B36" s="29"/>
      <c r="C36" s="66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28"/>
    </row>
    <row r="37" spans="1:16" ht="12.75" x14ac:dyDescent="0.2">
      <c r="A37" s="33" t="s">
        <v>151</v>
      </c>
      <c r="B37" s="32"/>
      <c r="C37" s="41" t="str">
        <f>C5</f>
        <v>historicky</v>
      </c>
      <c r="D37" s="54" t="str">
        <f>D5</f>
        <v>nabídka</v>
      </c>
      <c r="E37" s="347"/>
      <c r="F37" s="347"/>
      <c r="G37" s="347"/>
      <c r="H37" s="347"/>
      <c r="I37" s="347"/>
      <c r="J37" s="347"/>
      <c r="K37" s="347"/>
      <c r="L37" s="347"/>
      <c r="M37" s="347"/>
      <c r="N37" s="28"/>
    </row>
    <row r="38" spans="1:16" x14ac:dyDescent="0.2">
      <c r="A38" s="39" t="s">
        <v>95</v>
      </c>
      <c r="B38" s="30" t="s">
        <v>116</v>
      </c>
      <c r="C38" s="122">
        <v>7204.4940000000006</v>
      </c>
      <c r="D38" s="126">
        <v>4700</v>
      </c>
      <c r="E38" s="127">
        <f t="shared" ref="E38:M38" si="6">$D$38</f>
        <v>4700</v>
      </c>
      <c r="F38" s="127">
        <f t="shared" si="6"/>
        <v>4700</v>
      </c>
      <c r="G38" s="127">
        <f t="shared" si="6"/>
        <v>4700</v>
      </c>
      <c r="H38" s="127">
        <f t="shared" si="6"/>
        <v>4700</v>
      </c>
      <c r="I38" s="127">
        <f t="shared" si="6"/>
        <v>4700</v>
      </c>
      <c r="J38" s="127">
        <f t="shared" si="6"/>
        <v>4700</v>
      </c>
      <c r="K38" s="127">
        <f t="shared" si="6"/>
        <v>4700</v>
      </c>
      <c r="L38" s="127">
        <f t="shared" si="6"/>
        <v>4700</v>
      </c>
      <c r="M38" s="127">
        <f t="shared" si="6"/>
        <v>4700</v>
      </c>
      <c r="N38" s="28"/>
    </row>
    <row r="39" spans="1:16" x14ac:dyDescent="0.2">
      <c r="A39" s="28"/>
      <c r="B39" s="29"/>
      <c r="C39" s="28"/>
      <c r="D39" s="56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6" s="17" customFormat="1" x14ac:dyDescent="0.2">
      <c r="B40" s="32"/>
      <c r="D40" s="59"/>
      <c r="P40" s="32"/>
    </row>
    <row r="41" spans="1:16" ht="12.75" x14ac:dyDescent="0.2">
      <c r="A41" s="33" t="s">
        <v>199</v>
      </c>
      <c r="C41" s="24"/>
      <c r="D41" s="60">
        <f>D3</f>
        <v>2016</v>
      </c>
      <c r="E41" s="24">
        <f t="shared" ref="E41:M41" si="7">E3</f>
        <v>2017</v>
      </c>
      <c r="F41" s="24">
        <f t="shared" si="7"/>
        <v>2018</v>
      </c>
      <c r="G41" s="24">
        <f t="shared" si="7"/>
        <v>2019</v>
      </c>
      <c r="H41" s="24">
        <f t="shared" si="7"/>
        <v>2020</v>
      </c>
      <c r="I41" s="24">
        <f t="shared" si="7"/>
        <v>2021</v>
      </c>
      <c r="J41" s="24">
        <f t="shared" si="7"/>
        <v>2022</v>
      </c>
      <c r="K41" s="24">
        <f t="shared" si="7"/>
        <v>2023</v>
      </c>
      <c r="L41" s="24">
        <f t="shared" si="7"/>
        <v>2024</v>
      </c>
      <c r="M41" s="24">
        <f t="shared" si="7"/>
        <v>2025</v>
      </c>
    </row>
    <row r="42" spans="1:16" x14ac:dyDescent="0.2">
      <c r="A42" s="44"/>
      <c r="B42" s="45"/>
      <c r="C42" s="44"/>
      <c r="D42" s="61"/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1:16" ht="12.75" x14ac:dyDescent="0.2">
      <c r="A43" s="23" t="s">
        <v>132</v>
      </c>
      <c r="C43" s="52" t="str">
        <f>C5</f>
        <v>historicky</v>
      </c>
      <c r="D43" s="62" t="str">
        <f>D5</f>
        <v>nabídka</v>
      </c>
      <c r="E43" s="348" t="str">
        <f>$E$5</f>
        <v>prognóza</v>
      </c>
      <c r="F43" s="348"/>
      <c r="G43" s="348"/>
      <c r="H43" s="348"/>
      <c r="I43" s="348"/>
      <c r="J43" s="348"/>
      <c r="K43" s="348"/>
      <c r="L43" s="348"/>
      <c r="M43" s="348"/>
      <c r="N43" s="44"/>
    </row>
    <row r="44" spans="1:16" x14ac:dyDescent="0.2">
      <c r="A44" s="39" t="s">
        <v>133</v>
      </c>
      <c r="B44" s="30" t="s">
        <v>116</v>
      </c>
      <c r="C44" s="50">
        <v>10.376956279069766</v>
      </c>
      <c r="D44" s="55">
        <v>12</v>
      </c>
      <c r="E44" s="36">
        <f t="shared" ref="E44:M54" si="8">$D44</f>
        <v>12</v>
      </c>
      <c r="F44" s="36">
        <f t="shared" si="8"/>
        <v>12</v>
      </c>
      <c r="G44" s="36">
        <f t="shared" si="8"/>
        <v>12</v>
      </c>
      <c r="H44" s="36">
        <f t="shared" si="8"/>
        <v>12</v>
      </c>
      <c r="I44" s="36">
        <f t="shared" si="8"/>
        <v>12</v>
      </c>
      <c r="J44" s="36">
        <f t="shared" si="8"/>
        <v>12</v>
      </c>
      <c r="K44" s="36">
        <f t="shared" si="8"/>
        <v>12</v>
      </c>
      <c r="L44" s="36">
        <f t="shared" si="8"/>
        <v>12</v>
      </c>
      <c r="M44" s="36">
        <f t="shared" si="8"/>
        <v>12</v>
      </c>
      <c r="N44" s="44"/>
    </row>
    <row r="45" spans="1:16" x14ac:dyDescent="0.2">
      <c r="A45" s="39" t="s">
        <v>134</v>
      </c>
      <c r="B45" s="30" t="s">
        <v>116</v>
      </c>
      <c r="C45" s="50">
        <v>0</v>
      </c>
      <c r="D45" s="55"/>
      <c r="E45" s="36">
        <f t="shared" si="8"/>
        <v>0</v>
      </c>
      <c r="F45" s="36">
        <f t="shared" si="8"/>
        <v>0</v>
      </c>
      <c r="G45" s="36">
        <f t="shared" si="8"/>
        <v>0</v>
      </c>
      <c r="H45" s="36">
        <f t="shared" si="8"/>
        <v>0</v>
      </c>
      <c r="I45" s="36">
        <f t="shared" si="8"/>
        <v>0</v>
      </c>
      <c r="J45" s="36">
        <f t="shared" si="8"/>
        <v>0</v>
      </c>
      <c r="K45" s="36">
        <f t="shared" si="8"/>
        <v>0</v>
      </c>
      <c r="L45" s="36">
        <f t="shared" si="8"/>
        <v>0</v>
      </c>
      <c r="M45" s="36">
        <f t="shared" si="8"/>
        <v>0</v>
      </c>
      <c r="N45" s="44"/>
    </row>
    <row r="46" spans="1:16" x14ac:dyDescent="0.2">
      <c r="A46" s="39" t="s">
        <v>135</v>
      </c>
      <c r="B46" s="30" t="s">
        <v>116</v>
      </c>
      <c r="C46" s="50">
        <v>62.650873534883715</v>
      </c>
      <c r="D46" s="55">
        <v>125</v>
      </c>
      <c r="E46" s="36">
        <f t="shared" si="8"/>
        <v>125</v>
      </c>
      <c r="F46" s="36">
        <f t="shared" si="8"/>
        <v>125</v>
      </c>
      <c r="G46" s="36">
        <f t="shared" si="8"/>
        <v>125</v>
      </c>
      <c r="H46" s="36">
        <f t="shared" si="8"/>
        <v>125</v>
      </c>
      <c r="I46" s="36">
        <f t="shared" si="8"/>
        <v>125</v>
      </c>
      <c r="J46" s="36">
        <f t="shared" si="8"/>
        <v>125</v>
      </c>
      <c r="K46" s="36">
        <f t="shared" si="8"/>
        <v>125</v>
      </c>
      <c r="L46" s="36">
        <f t="shared" si="8"/>
        <v>125</v>
      </c>
      <c r="M46" s="36">
        <f t="shared" si="8"/>
        <v>125</v>
      </c>
      <c r="N46" s="44"/>
    </row>
    <row r="47" spans="1:16" x14ac:dyDescent="0.2">
      <c r="A47" s="39" t="s">
        <v>136</v>
      </c>
      <c r="B47" s="30" t="s">
        <v>116</v>
      </c>
      <c r="C47" s="50">
        <v>21.927781263255813</v>
      </c>
      <c r="D47" s="55">
        <v>58</v>
      </c>
      <c r="E47" s="36">
        <f t="shared" si="8"/>
        <v>58</v>
      </c>
      <c r="F47" s="36">
        <f t="shared" si="8"/>
        <v>58</v>
      </c>
      <c r="G47" s="36">
        <f t="shared" si="8"/>
        <v>58</v>
      </c>
      <c r="H47" s="36">
        <f t="shared" si="8"/>
        <v>58</v>
      </c>
      <c r="I47" s="36">
        <f t="shared" si="8"/>
        <v>58</v>
      </c>
      <c r="J47" s="36">
        <f t="shared" si="8"/>
        <v>58</v>
      </c>
      <c r="K47" s="36">
        <f t="shared" si="8"/>
        <v>58</v>
      </c>
      <c r="L47" s="36">
        <f t="shared" si="8"/>
        <v>58</v>
      </c>
      <c r="M47" s="36">
        <f t="shared" si="8"/>
        <v>58</v>
      </c>
      <c r="N47" s="44"/>
    </row>
    <row r="48" spans="1:16" x14ac:dyDescent="0.2">
      <c r="A48" s="39" t="s">
        <v>137</v>
      </c>
      <c r="B48" s="30" t="s">
        <v>116</v>
      </c>
      <c r="C48" s="50">
        <v>56.707716565581393</v>
      </c>
      <c r="D48" s="55">
        <v>189</v>
      </c>
      <c r="E48" s="36">
        <f t="shared" si="8"/>
        <v>189</v>
      </c>
      <c r="F48" s="36">
        <f t="shared" si="8"/>
        <v>189</v>
      </c>
      <c r="G48" s="36">
        <f t="shared" si="8"/>
        <v>189</v>
      </c>
      <c r="H48" s="36">
        <f t="shared" si="8"/>
        <v>189</v>
      </c>
      <c r="I48" s="36">
        <f t="shared" si="8"/>
        <v>189</v>
      </c>
      <c r="J48" s="36">
        <f t="shared" si="8"/>
        <v>189</v>
      </c>
      <c r="K48" s="36">
        <f t="shared" si="8"/>
        <v>189</v>
      </c>
      <c r="L48" s="36">
        <f t="shared" si="8"/>
        <v>189</v>
      </c>
      <c r="M48" s="36">
        <f t="shared" si="8"/>
        <v>189</v>
      </c>
      <c r="N48" s="44"/>
    </row>
    <row r="49" spans="1:16" x14ac:dyDescent="0.2">
      <c r="A49" s="39" t="s">
        <v>276</v>
      </c>
      <c r="B49" s="30" t="s">
        <v>116</v>
      </c>
      <c r="C49" s="50">
        <v>0</v>
      </c>
      <c r="D49" s="55"/>
      <c r="E49" s="36">
        <f t="shared" si="8"/>
        <v>0</v>
      </c>
      <c r="F49" s="36">
        <f t="shared" si="8"/>
        <v>0</v>
      </c>
      <c r="G49" s="36">
        <f t="shared" si="8"/>
        <v>0</v>
      </c>
      <c r="H49" s="36">
        <f t="shared" si="8"/>
        <v>0</v>
      </c>
      <c r="I49" s="36">
        <f t="shared" si="8"/>
        <v>0</v>
      </c>
      <c r="J49" s="36">
        <f t="shared" si="8"/>
        <v>0</v>
      </c>
      <c r="K49" s="36">
        <f t="shared" si="8"/>
        <v>0</v>
      </c>
      <c r="L49" s="36">
        <f t="shared" si="8"/>
        <v>0</v>
      </c>
      <c r="M49" s="36">
        <f t="shared" si="8"/>
        <v>0</v>
      </c>
      <c r="N49" s="44"/>
    </row>
    <row r="50" spans="1:16" x14ac:dyDescent="0.2">
      <c r="A50" s="39" t="s">
        <v>277</v>
      </c>
      <c r="B50" s="30" t="s">
        <v>116</v>
      </c>
      <c r="C50" s="50">
        <v>85.819875823255813</v>
      </c>
      <c r="D50" s="55">
        <v>75</v>
      </c>
      <c r="E50" s="36">
        <f t="shared" si="8"/>
        <v>75</v>
      </c>
      <c r="F50" s="36">
        <f t="shared" si="8"/>
        <v>75</v>
      </c>
      <c r="G50" s="36">
        <f t="shared" si="8"/>
        <v>75</v>
      </c>
      <c r="H50" s="36">
        <f t="shared" si="8"/>
        <v>75</v>
      </c>
      <c r="I50" s="36">
        <f t="shared" si="8"/>
        <v>75</v>
      </c>
      <c r="J50" s="36">
        <f t="shared" si="8"/>
        <v>75</v>
      </c>
      <c r="K50" s="36">
        <f t="shared" si="8"/>
        <v>75</v>
      </c>
      <c r="L50" s="36">
        <f t="shared" si="8"/>
        <v>75</v>
      </c>
      <c r="M50" s="36">
        <f t="shared" si="8"/>
        <v>75</v>
      </c>
      <c r="N50" s="44"/>
    </row>
    <row r="51" spans="1:16" x14ac:dyDescent="0.2">
      <c r="A51" s="39" t="s">
        <v>278</v>
      </c>
      <c r="B51" s="30" t="s">
        <v>116</v>
      </c>
      <c r="C51" s="50">
        <v>146.51004304837213</v>
      </c>
      <c r="D51" s="55">
        <v>67</v>
      </c>
      <c r="E51" s="36">
        <f t="shared" si="8"/>
        <v>67</v>
      </c>
      <c r="F51" s="36">
        <f t="shared" si="8"/>
        <v>67</v>
      </c>
      <c r="G51" s="36">
        <f t="shared" si="8"/>
        <v>67</v>
      </c>
      <c r="H51" s="36">
        <f t="shared" si="8"/>
        <v>67</v>
      </c>
      <c r="I51" s="36">
        <f t="shared" si="8"/>
        <v>67</v>
      </c>
      <c r="J51" s="36">
        <f t="shared" si="8"/>
        <v>67</v>
      </c>
      <c r="K51" s="36">
        <f t="shared" si="8"/>
        <v>67</v>
      </c>
      <c r="L51" s="36">
        <f t="shared" si="8"/>
        <v>67</v>
      </c>
      <c r="M51" s="36">
        <f t="shared" si="8"/>
        <v>67</v>
      </c>
      <c r="N51" s="44"/>
    </row>
    <row r="52" spans="1:16" x14ac:dyDescent="0.2">
      <c r="A52" s="39" t="s">
        <v>281</v>
      </c>
      <c r="B52" s="30" t="s">
        <v>116</v>
      </c>
      <c r="C52" s="50">
        <v>0</v>
      </c>
      <c r="D52" s="55"/>
      <c r="E52" s="36">
        <f t="shared" si="8"/>
        <v>0</v>
      </c>
      <c r="F52" s="36">
        <f t="shared" si="8"/>
        <v>0</v>
      </c>
      <c r="G52" s="36">
        <f t="shared" si="8"/>
        <v>0</v>
      </c>
      <c r="H52" s="36">
        <f t="shared" si="8"/>
        <v>0</v>
      </c>
      <c r="I52" s="36">
        <f t="shared" si="8"/>
        <v>0</v>
      </c>
      <c r="J52" s="36">
        <f t="shared" si="8"/>
        <v>0</v>
      </c>
      <c r="K52" s="36">
        <f t="shared" si="8"/>
        <v>0</v>
      </c>
      <c r="L52" s="36">
        <f t="shared" si="8"/>
        <v>0</v>
      </c>
      <c r="M52" s="36">
        <f t="shared" si="8"/>
        <v>0</v>
      </c>
      <c r="N52" s="44"/>
    </row>
    <row r="53" spans="1:16" x14ac:dyDescent="0.2">
      <c r="A53" s="39" t="s">
        <v>279</v>
      </c>
      <c r="B53" s="30" t="s">
        <v>116</v>
      </c>
      <c r="C53" s="50">
        <v>49.290542325581384</v>
      </c>
      <c r="D53" s="55">
        <v>41</v>
      </c>
      <c r="E53" s="36">
        <f t="shared" si="8"/>
        <v>41</v>
      </c>
      <c r="F53" s="36">
        <f t="shared" si="8"/>
        <v>41</v>
      </c>
      <c r="G53" s="36">
        <f t="shared" si="8"/>
        <v>41</v>
      </c>
      <c r="H53" s="36">
        <f t="shared" si="8"/>
        <v>41</v>
      </c>
      <c r="I53" s="36">
        <f t="shared" si="8"/>
        <v>41</v>
      </c>
      <c r="J53" s="36">
        <f t="shared" si="8"/>
        <v>41</v>
      </c>
      <c r="K53" s="36">
        <f t="shared" si="8"/>
        <v>41</v>
      </c>
      <c r="L53" s="36">
        <f t="shared" si="8"/>
        <v>41</v>
      </c>
      <c r="M53" s="36">
        <f t="shared" si="8"/>
        <v>41</v>
      </c>
      <c r="N53" s="44"/>
    </row>
    <row r="54" spans="1:16" x14ac:dyDescent="0.2">
      <c r="A54" s="39" t="s">
        <v>280</v>
      </c>
      <c r="B54" s="30" t="s">
        <v>116</v>
      </c>
      <c r="C54" s="50">
        <v>77.82717209302325</v>
      </c>
      <c r="D54" s="55">
        <v>125</v>
      </c>
      <c r="E54" s="36">
        <f t="shared" si="8"/>
        <v>125</v>
      </c>
      <c r="F54" s="36">
        <f t="shared" si="8"/>
        <v>125</v>
      </c>
      <c r="G54" s="36">
        <f t="shared" si="8"/>
        <v>125</v>
      </c>
      <c r="H54" s="36">
        <f t="shared" si="8"/>
        <v>125</v>
      </c>
      <c r="I54" s="36">
        <f t="shared" si="8"/>
        <v>125</v>
      </c>
      <c r="J54" s="36">
        <f t="shared" si="8"/>
        <v>125</v>
      </c>
      <c r="K54" s="36">
        <f t="shared" si="8"/>
        <v>125</v>
      </c>
      <c r="L54" s="36">
        <f t="shared" si="8"/>
        <v>125</v>
      </c>
      <c r="M54" s="36">
        <f t="shared" si="8"/>
        <v>125</v>
      </c>
      <c r="N54" s="44"/>
    </row>
    <row r="55" spans="1:16" x14ac:dyDescent="0.2">
      <c r="A55" s="44"/>
      <c r="B55" s="45"/>
      <c r="C55" s="44"/>
      <c r="D55" s="64"/>
      <c r="E55" s="44"/>
      <c r="F55" s="44"/>
      <c r="G55" s="44"/>
      <c r="H55" s="44"/>
      <c r="I55" s="44"/>
      <c r="J55" s="44"/>
      <c r="K55" s="44"/>
      <c r="L55" s="44"/>
      <c r="M55" s="44"/>
      <c r="N55" s="44"/>
    </row>
    <row r="56" spans="1:16" ht="12.75" x14ac:dyDescent="0.2">
      <c r="A56" s="23" t="str">
        <f>A18</f>
        <v>Náklady dle objemu indexované  - na m3 pitné vody k realizaci</v>
      </c>
      <c r="B56" s="25" t="s">
        <v>116</v>
      </c>
      <c r="C56" s="52" t="str">
        <f>C5</f>
        <v>historicky</v>
      </c>
      <c r="D56" s="62" t="str">
        <f>D5</f>
        <v>nabídka</v>
      </c>
      <c r="E56" s="348" t="str">
        <f>$E$5</f>
        <v>prognóza</v>
      </c>
      <c r="F56" s="348"/>
      <c r="G56" s="348"/>
      <c r="H56" s="348"/>
      <c r="I56" s="348"/>
      <c r="J56" s="348"/>
      <c r="K56" s="348"/>
      <c r="L56" s="348"/>
      <c r="M56" s="348"/>
      <c r="N56" s="44"/>
    </row>
    <row r="57" spans="1:16" x14ac:dyDescent="0.2">
      <c r="A57" s="39" t="s">
        <v>142</v>
      </c>
      <c r="B57" s="30" t="s">
        <v>89</v>
      </c>
      <c r="C57" s="51">
        <v>1.2610884366925066</v>
      </c>
      <c r="D57" s="124">
        <v>1.59</v>
      </c>
      <c r="E57" s="75">
        <f t="shared" ref="E57:M58" si="9">$D57</f>
        <v>1.59</v>
      </c>
      <c r="F57" s="75">
        <f t="shared" si="9"/>
        <v>1.59</v>
      </c>
      <c r="G57" s="75">
        <f t="shared" si="9"/>
        <v>1.59</v>
      </c>
      <c r="H57" s="75">
        <f t="shared" si="9"/>
        <v>1.59</v>
      </c>
      <c r="I57" s="75">
        <f t="shared" si="9"/>
        <v>1.59</v>
      </c>
      <c r="J57" s="75">
        <f t="shared" si="9"/>
        <v>1.59</v>
      </c>
      <c r="K57" s="75">
        <f t="shared" si="9"/>
        <v>1.59</v>
      </c>
      <c r="L57" s="75">
        <f t="shared" si="9"/>
        <v>1.59</v>
      </c>
      <c r="M57" s="75">
        <f t="shared" si="9"/>
        <v>1.59</v>
      </c>
      <c r="N57" s="44"/>
    </row>
    <row r="58" spans="1:16" x14ac:dyDescent="0.2">
      <c r="A58" s="46"/>
      <c r="B58" s="30" t="s">
        <v>116</v>
      </c>
      <c r="C58" s="36">
        <f>C57*'vstupy zadavatele'!D41</f>
        <v>199.75640837209306</v>
      </c>
      <c r="D58" s="141">
        <f>D57*'vstupy zadavatele'!D41</f>
        <v>251.85600000000002</v>
      </c>
      <c r="E58" s="36">
        <f t="shared" si="9"/>
        <v>251.85600000000002</v>
      </c>
      <c r="F58" s="36">
        <f t="shared" si="9"/>
        <v>251.85600000000002</v>
      </c>
      <c r="G58" s="36">
        <f t="shared" si="9"/>
        <v>251.85600000000002</v>
      </c>
      <c r="H58" s="36">
        <f t="shared" si="9"/>
        <v>251.85600000000002</v>
      </c>
      <c r="I58" s="36">
        <f t="shared" si="9"/>
        <v>251.85600000000002</v>
      </c>
      <c r="J58" s="36">
        <f t="shared" si="9"/>
        <v>251.85600000000002</v>
      </c>
      <c r="K58" s="36">
        <f t="shared" si="9"/>
        <v>251.85600000000002</v>
      </c>
      <c r="L58" s="36">
        <f t="shared" si="9"/>
        <v>251.85600000000002</v>
      </c>
      <c r="M58" s="36">
        <f t="shared" si="9"/>
        <v>251.85600000000002</v>
      </c>
      <c r="N58" s="44"/>
    </row>
    <row r="59" spans="1:16" x14ac:dyDescent="0.2">
      <c r="A59" s="44"/>
      <c r="B59" s="45"/>
      <c r="C59" s="44"/>
      <c r="D59" s="64"/>
      <c r="E59" s="44"/>
      <c r="F59" s="44"/>
      <c r="G59" s="44"/>
      <c r="H59" s="44"/>
      <c r="I59" s="44"/>
      <c r="J59" s="44"/>
      <c r="K59" s="44"/>
      <c r="L59" s="44"/>
      <c r="M59" s="44"/>
      <c r="N59" s="44"/>
    </row>
    <row r="60" spans="1:16" ht="12.75" x14ac:dyDescent="0.2">
      <c r="A60" s="33" t="s">
        <v>152</v>
      </c>
      <c r="B60" s="32"/>
      <c r="C60" s="128" t="str">
        <f>C22</f>
        <v>historicky</v>
      </c>
      <c r="D60" s="69"/>
      <c r="E60" s="346" t="str">
        <f>$E$5</f>
        <v>prognóza</v>
      </c>
      <c r="F60" s="347"/>
      <c r="G60" s="347"/>
      <c r="H60" s="347"/>
      <c r="I60" s="347"/>
      <c r="J60" s="347"/>
      <c r="K60" s="347"/>
      <c r="L60" s="347"/>
      <c r="M60" s="347"/>
      <c r="N60" s="44"/>
    </row>
    <row r="61" spans="1:16" x14ac:dyDescent="0.2">
      <c r="A61" s="39" t="s">
        <v>160</v>
      </c>
      <c r="B61" s="30" t="s">
        <v>130</v>
      </c>
      <c r="C61" s="51">
        <v>1.32</v>
      </c>
      <c r="D61" s="169">
        <v>1.32</v>
      </c>
      <c r="E61" s="297">
        <f t="shared" ref="E61:M61" si="10">D61</f>
        <v>1.32</v>
      </c>
      <c r="F61" s="298">
        <f t="shared" si="10"/>
        <v>1.32</v>
      </c>
      <c r="G61" s="298">
        <f t="shared" si="10"/>
        <v>1.32</v>
      </c>
      <c r="H61" s="298">
        <f t="shared" si="10"/>
        <v>1.32</v>
      </c>
      <c r="I61" s="298">
        <f t="shared" si="10"/>
        <v>1.32</v>
      </c>
      <c r="J61" s="298">
        <f t="shared" si="10"/>
        <v>1.32</v>
      </c>
      <c r="K61" s="298">
        <f t="shared" si="10"/>
        <v>1.32</v>
      </c>
      <c r="L61" s="298">
        <f t="shared" si="10"/>
        <v>1.32</v>
      </c>
      <c r="M61" s="298">
        <f t="shared" si="10"/>
        <v>1.32</v>
      </c>
      <c r="N61" s="44"/>
    </row>
    <row r="62" spans="1:16" x14ac:dyDescent="0.2">
      <c r="A62" s="44"/>
      <c r="B62" s="45"/>
      <c r="C62" s="44"/>
      <c r="D62" s="64"/>
      <c r="E62" s="44"/>
      <c r="F62" s="44"/>
      <c r="G62" s="44"/>
      <c r="H62" s="44"/>
      <c r="I62" s="44"/>
      <c r="J62" s="44"/>
      <c r="K62" s="44"/>
      <c r="L62" s="44"/>
      <c r="M62" s="44"/>
      <c r="N62" s="44"/>
    </row>
    <row r="63" spans="1:16" s="17" customFormat="1" ht="12.75" x14ac:dyDescent="0.2">
      <c r="A63" s="33" t="s">
        <v>151</v>
      </c>
      <c r="B63" s="32"/>
      <c r="C63" s="41" t="str">
        <f>C5</f>
        <v>historicky</v>
      </c>
      <c r="D63" s="54" t="str">
        <f>D5</f>
        <v>nabídka</v>
      </c>
      <c r="E63" s="348" t="str">
        <f>$E$5</f>
        <v>prognóza</v>
      </c>
      <c r="F63" s="348"/>
      <c r="G63" s="348"/>
      <c r="H63" s="348"/>
      <c r="I63" s="348"/>
      <c r="J63" s="348"/>
      <c r="K63" s="348"/>
      <c r="L63" s="348"/>
      <c r="M63" s="348"/>
      <c r="N63" s="44"/>
      <c r="P63" s="32"/>
    </row>
    <row r="64" spans="1:16" x14ac:dyDescent="0.2">
      <c r="A64" s="39" t="s">
        <v>95</v>
      </c>
      <c r="B64" s="30" t="s">
        <v>116</v>
      </c>
      <c r="C64" s="122">
        <v>156.25346656744188</v>
      </c>
      <c r="D64" s="126">
        <v>156</v>
      </c>
      <c r="E64" s="127">
        <f t="shared" ref="E64:M64" si="11">$D$64</f>
        <v>156</v>
      </c>
      <c r="F64" s="127">
        <f t="shared" si="11"/>
        <v>156</v>
      </c>
      <c r="G64" s="127">
        <f t="shared" si="11"/>
        <v>156</v>
      </c>
      <c r="H64" s="127">
        <f t="shared" si="11"/>
        <v>156</v>
      </c>
      <c r="I64" s="127">
        <f t="shared" si="11"/>
        <v>156</v>
      </c>
      <c r="J64" s="127">
        <f t="shared" si="11"/>
        <v>156</v>
      </c>
      <c r="K64" s="127">
        <f t="shared" si="11"/>
        <v>156</v>
      </c>
      <c r="L64" s="127">
        <f t="shared" si="11"/>
        <v>156</v>
      </c>
      <c r="M64" s="127">
        <f t="shared" si="11"/>
        <v>156</v>
      </c>
      <c r="N64" s="44"/>
    </row>
    <row r="65" spans="1:16" ht="12" thickBot="1" x14ac:dyDescent="0.25">
      <c r="A65" s="44"/>
      <c r="B65" s="45"/>
      <c r="C65" s="44"/>
      <c r="D65" s="63"/>
      <c r="E65" s="44"/>
      <c r="F65" s="44"/>
      <c r="G65" s="44"/>
      <c r="H65" s="44"/>
      <c r="I65" s="44"/>
      <c r="J65" s="44"/>
      <c r="K65" s="44"/>
      <c r="L65" s="44"/>
      <c r="M65" s="44"/>
      <c r="N65" s="44"/>
    </row>
    <row r="66" spans="1:16" s="17" customFormat="1" ht="12" thickTop="1" x14ac:dyDescent="0.2">
      <c r="B66" s="32"/>
      <c r="D66" s="65"/>
      <c r="P66" s="32"/>
    </row>
    <row r="67" spans="1:16" s="17" customFormat="1" x14ac:dyDescent="0.2">
      <c r="A67" s="17" t="s">
        <v>162</v>
      </c>
      <c r="B67" s="32"/>
      <c r="D67" s="65"/>
      <c r="P67" s="32"/>
    </row>
    <row r="69" spans="1:16" ht="15.75" x14ac:dyDescent="0.25">
      <c r="A69" s="38" t="s">
        <v>144</v>
      </c>
    </row>
    <row r="70" spans="1:16" x14ac:dyDescent="0.2">
      <c r="A70" s="24"/>
    </row>
    <row r="71" spans="1:16" ht="12.75" x14ac:dyDescent="0.2">
      <c r="A71" s="23" t="s">
        <v>201</v>
      </c>
      <c r="D71" s="80">
        <f t="shared" ref="D71:M71" si="12">D3</f>
        <v>2016</v>
      </c>
      <c r="E71" s="24">
        <f t="shared" si="12"/>
        <v>2017</v>
      </c>
      <c r="F71" s="24">
        <f t="shared" si="12"/>
        <v>2018</v>
      </c>
      <c r="G71" s="24">
        <f t="shared" si="12"/>
        <v>2019</v>
      </c>
      <c r="H71" s="24">
        <f t="shared" si="12"/>
        <v>2020</v>
      </c>
      <c r="I71" s="24">
        <f t="shared" si="12"/>
        <v>2021</v>
      </c>
      <c r="J71" s="24">
        <f t="shared" si="12"/>
        <v>2022</v>
      </c>
      <c r="K71" s="24">
        <f t="shared" si="12"/>
        <v>2023</v>
      </c>
      <c r="L71" s="24">
        <f t="shared" si="12"/>
        <v>2024</v>
      </c>
      <c r="M71" s="24">
        <f t="shared" si="12"/>
        <v>2025</v>
      </c>
    </row>
    <row r="72" spans="1:16" x14ac:dyDescent="0.2">
      <c r="A72" s="28"/>
      <c r="B72" s="29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6" x14ac:dyDescent="0.2">
      <c r="A73" s="31" t="s">
        <v>166</v>
      </c>
      <c r="B73" s="74" t="s">
        <v>116</v>
      </c>
      <c r="C73" s="31"/>
      <c r="D73" s="36">
        <f>SUM(D6:D16,D20,D38)</f>
        <v>32385.439999999999</v>
      </c>
      <c r="E73" s="36">
        <f t="shared" ref="E73:M73" si="13">SUM(E6:E16,E20,E38)</f>
        <v>32385.439999999999</v>
      </c>
      <c r="F73" s="36">
        <f t="shared" si="13"/>
        <v>32385.439999999999</v>
      </c>
      <c r="G73" s="36">
        <f t="shared" si="13"/>
        <v>32385.439999999999</v>
      </c>
      <c r="H73" s="36">
        <f t="shared" si="13"/>
        <v>32385.439999999999</v>
      </c>
      <c r="I73" s="36">
        <f t="shared" si="13"/>
        <v>32385.439999999999</v>
      </c>
      <c r="J73" s="36">
        <f t="shared" si="13"/>
        <v>32385.439999999999</v>
      </c>
      <c r="K73" s="36">
        <f t="shared" si="13"/>
        <v>32385.439999999999</v>
      </c>
      <c r="L73" s="36">
        <f t="shared" si="13"/>
        <v>32385.439999999999</v>
      </c>
      <c r="M73" s="36">
        <f t="shared" si="13"/>
        <v>32385.439999999999</v>
      </c>
      <c r="N73" s="28"/>
    </row>
    <row r="74" spans="1:16" x14ac:dyDescent="0.2">
      <c r="A74" s="31" t="s">
        <v>164</v>
      </c>
      <c r="B74" s="74" t="s">
        <v>116</v>
      </c>
      <c r="C74" s="31"/>
      <c r="D74" s="36">
        <f>'vstupy zadavatele'!D22*'vstupy zadavatele'!$O$14*'nabidka dodavatele'!D23*'vstupy zadavatele'!D25+'vstupy zadavatele'!D22*'vstupy zadavatele'!$O$15*'nabidka dodavatele'!D23*'vstupy zadavatele'!D26+'vstupy zadavatele'!D22*'vstupy zadavatele'!D27*'nabidka dodavatele'!D23</f>
        <v>7596.1520000000019</v>
      </c>
      <c r="E74" s="36">
        <f>'vstupy zadavatele'!E22*'vstupy zadavatele'!$O$14*'nabidka dodavatele'!E23*'vstupy zadavatele'!E25+'vstupy zadavatele'!E22*'vstupy zadavatele'!$O$15*'nabidka dodavatele'!E23*'vstupy zadavatele'!E26+'vstupy zadavatele'!E22*'vstupy zadavatele'!E27*'nabidka dodavatele'!E23</f>
        <v>7633.0750400000015</v>
      </c>
      <c r="F74" s="36">
        <f>'vstupy zadavatele'!F22*'vstupy zadavatele'!$O$14*'nabidka dodavatele'!F23*'vstupy zadavatele'!F25+'vstupy zadavatele'!F22*'vstupy zadavatele'!$O$15*'nabidka dodavatele'!F23*'vstupy zadavatele'!F26+'vstupy zadavatele'!F22*'vstupy zadavatele'!F27*'nabidka dodavatele'!F23</f>
        <v>7670.7365408000023</v>
      </c>
      <c r="G74" s="36">
        <f>'vstupy zadavatele'!G22*'vstupy zadavatele'!$O$14*'nabidka dodavatele'!G23*'vstupy zadavatele'!G25+'vstupy zadavatele'!G22*'vstupy zadavatele'!$O$15*'nabidka dodavatele'!G23*'vstupy zadavatele'!G26+'vstupy zadavatele'!G22*'vstupy zadavatele'!G27*'nabidka dodavatele'!G23</f>
        <v>7709.1512716160023</v>
      </c>
      <c r="H74" s="36">
        <f>'vstupy zadavatele'!H22*'vstupy zadavatele'!$O$14*'nabidka dodavatele'!H23*'vstupy zadavatele'!H25+'vstupy zadavatele'!H22*'vstupy zadavatele'!$O$15*'nabidka dodavatele'!H23*'vstupy zadavatele'!H26+'vstupy zadavatele'!H22*'vstupy zadavatele'!H27*'nabidka dodavatele'!H23</f>
        <v>7748.3342970483218</v>
      </c>
      <c r="I74" s="36">
        <f>'vstupy zadavatele'!I22*'vstupy zadavatele'!$O$14*'nabidka dodavatele'!I23*'vstupy zadavatele'!I25+'vstupy zadavatele'!I22*'vstupy zadavatele'!$O$15*'nabidka dodavatele'!I23*'vstupy zadavatele'!I26+'vstupy zadavatele'!I22*'vstupy zadavatele'!I27*'nabidka dodavatele'!I23</f>
        <v>7788.300982989289</v>
      </c>
      <c r="J74" s="36">
        <f>'vstupy zadavatele'!J22*'vstupy zadavatele'!$O$14*'nabidka dodavatele'!J23*'vstupy zadavatele'!J25+'vstupy zadavatele'!J22*'vstupy zadavatele'!$O$15*'nabidka dodavatele'!J23*'vstupy zadavatele'!J26+'vstupy zadavatele'!J22*'vstupy zadavatele'!J27*'nabidka dodavatele'!J23</f>
        <v>7829.0670026490743</v>
      </c>
      <c r="K74" s="36">
        <f>'vstupy zadavatele'!K22*'vstupy zadavatele'!$O$14*'nabidka dodavatele'!K23*'vstupy zadavatele'!K25+'vstupy zadavatele'!K22*'vstupy zadavatele'!$O$15*'nabidka dodavatele'!K23*'vstupy zadavatele'!K26+'vstupy zadavatele'!K22*'vstupy zadavatele'!K27*'nabidka dodavatele'!K23</f>
        <v>7870.6483427020557</v>
      </c>
      <c r="L74" s="36">
        <f>'vstupy zadavatele'!L22*'vstupy zadavatele'!$O$14*'nabidka dodavatele'!L23*'vstupy zadavatele'!L25+'vstupy zadavatele'!L22*'vstupy zadavatele'!$O$15*'nabidka dodavatele'!L23*'vstupy zadavatele'!L26+'vstupy zadavatele'!L22*'vstupy zadavatele'!L27*'nabidka dodavatele'!L23</f>
        <v>7913.0613095560966</v>
      </c>
      <c r="M74" s="36">
        <f>'vstupy zadavatele'!M22*'vstupy zadavatele'!$O$14*'nabidka dodavatele'!M23*'vstupy zadavatele'!M25+'vstupy zadavatele'!M22*'vstupy zadavatele'!$O$15*'nabidka dodavatele'!M23*'vstupy zadavatele'!M26+'vstupy zadavatele'!M22*'vstupy zadavatele'!M27*'nabidka dodavatele'!M23</f>
        <v>7956.3225357472193</v>
      </c>
      <c r="N74" s="28"/>
    </row>
    <row r="75" spans="1:16" x14ac:dyDescent="0.2">
      <c r="A75" s="31" t="s">
        <v>115</v>
      </c>
      <c r="B75" s="74" t="s">
        <v>116</v>
      </c>
      <c r="C75" s="31"/>
      <c r="D75" s="36">
        <f>'vstupy zadavatele'!D11</f>
        <v>18825</v>
      </c>
      <c r="E75" s="36">
        <f>'vstupy zadavatele'!E11</f>
        <v>19483.875</v>
      </c>
      <c r="F75" s="36">
        <f>'vstupy zadavatele'!F11</f>
        <v>20165.810624999998</v>
      </c>
      <c r="G75" s="36">
        <f>'vstupy zadavatele'!G11</f>
        <v>20871.613996874996</v>
      </c>
      <c r="H75" s="36">
        <f>'vstupy zadavatele'!H11</f>
        <v>21602.12048676562</v>
      </c>
      <c r="I75" s="36">
        <f>'vstupy zadavatele'!I11</f>
        <v>22358.194703802415</v>
      </c>
      <c r="J75" s="36">
        <f>'vstupy zadavatele'!J11</f>
        <v>23140.731518435499</v>
      </c>
      <c r="K75" s="36">
        <f>'vstupy zadavatele'!K11</f>
        <v>23950.657121580742</v>
      </c>
      <c r="L75" s="36">
        <f>'vstupy zadavatele'!L11</f>
        <v>24788.930120836067</v>
      </c>
      <c r="M75" s="36">
        <f>'vstupy zadavatele'!M11</f>
        <v>25656.542675065328</v>
      </c>
      <c r="N75" s="28"/>
    </row>
    <row r="76" spans="1:16" x14ac:dyDescent="0.2">
      <c r="A76" s="31" t="s">
        <v>193</v>
      </c>
      <c r="B76" s="74" t="s">
        <v>116</v>
      </c>
      <c r="C76" s="31"/>
      <c r="D76" s="36">
        <f>SUM(D73:D75)</f>
        <v>58806.592000000004</v>
      </c>
      <c r="E76" s="36">
        <f>SUM(E73:E75)</f>
        <v>59502.390039999998</v>
      </c>
      <c r="F76" s="36">
        <f t="shared" ref="F76:M76" si="14">SUM(F73:F75)</f>
        <v>60221.987165799997</v>
      </c>
      <c r="G76" s="36">
        <f t="shared" si="14"/>
        <v>60966.205268491001</v>
      </c>
      <c r="H76" s="36">
        <f t="shared" si="14"/>
        <v>61735.894783813943</v>
      </c>
      <c r="I76" s="36">
        <f t="shared" si="14"/>
        <v>62531.935686791701</v>
      </c>
      <c r="J76" s="36">
        <f t="shared" si="14"/>
        <v>63355.238521084568</v>
      </c>
      <c r="K76" s="36">
        <f t="shared" si="14"/>
        <v>64206.745464282794</v>
      </c>
      <c r="L76" s="36">
        <f t="shared" si="14"/>
        <v>65087.431430392156</v>
      </c>
      <c r="M76" s="36">
        <f t="shared" si="14"/>
        <v>65998.305210812541</v>
      </c>
      <c r="N76" s="28"/>
    </row>
    <row r="77" spans="1:16" x14ac:dyDescent="0.2">
      <c r="A77" s="31" t="s">
        <v>145</v>
      </c>
      <c r="B77" s="74" t="s">
        <v>119</v>
      </c>
      <c r="C77" s="31"/>
      <c r="D77" s="36">
        <f>'vstupy zadavatele'!D22</f>
        <v>1800</v>
      </c>
      <c r="E77" s="36">
        <f>'vstupy zadavatele'!E22</f>
        <v>1800</v>
      </c>
      <c r="F77" s="36">
        <f>'vstupy zadavatele'!F22</f>
        <v>1800</v>
      </c>
      <c r="G77" s="36">
        <f>'vstupy zadavatele'!G22</f>
        <v>1800</v>
      </c>
      <c r="H77" s="36">
        <f>'vstupy zadavatele'!H22</f>
        <v>1800</v>
      </c>
      <c r="I77" s="36">
        <f>'vstupy zadavatele'!I22</f>
        <v>1800</v>
      </c>
      <c r="J77" s="36">
        <f>'vstupy zadavatele'!J22</f>
        <v>1800</v>
      </c>
      <c r="K77" s="36">
        <f>'vstupy zadavatele'!K22</f>
        <v>1800</v>
      </c>
      <c r="L77" s="36">
        <f>'vstupy zadavatele'!L22</f>
        <v>1800</v>
      </c>
      <c r="M77" s="36">
        <f>'vstupy zadavatele'!M22</f>
        <v>1800</v>
      </c>
      <c r="N77" s="28"/>
    </row>
    <row r="78" spans="1:16" x14ac:dyDescent="0.2">
      <c r="A78" s="31" t="s">
        <v>252</v>
      </c>
      <c r="B78" s="74" t="s">
        <v>116</v>
      </c>
      <c r="C78" s="31"/>
      <c r="D78" s="36">
        <f>-('vstupy zadavatele'!D22*'vstupy zadavatele'!$O$14*'vstupy zadavatele'!D25+'vstupy zadavatele'!D22*'vstupy zadavatele'!$O$15*'vstupy zadavatele'!D26+'vstupy zadavatele'!D22*'vstupy zadavatele'!D27)*($C$23-$D$23)</f>
        <v>0</v>
      </c>
      <c r="E78" s="36">
        <f>-('vstupy zadavatele'!E22*'vstupy zadavatele'!$O$14*'vstupy zadavatele'!E25+'vstupy zadavatele'!E22*'vstupy zadavatele'!$O$15*'vstupy zadavatele'!E26+'vstupy zadavatele'!E22*'vstupy zadavatele'!E27)*($C$23-$D$23)</f>
        <v>0</v>
      </c>
      <c r="F78" s="36">
        <f>-('vstupy zadavatele'!F22*'vstupy zadavatele'!$O$14*'vstupy zadavatele'!F25+'vstupy zadavatele'!F22*'vstupy zadavatele'!$O$15*'vstupy zadavatele'!F26+'vstupy zadavatele'!F22*'vstupy zadavatele'!F27)*($C$23-$D$23)</f>
        <v>0</v>
      </c>
      <c r="G78" s="36">
        <f>-('vstupy zadavatele'!G22*'vstupy zadavatele'!$O$14*'vstupy zadavatele'!G25+'vstupy zadavatele'!G22*'vstupy zadavatele'!$O$15*'vstupy zadavatele'!G26+'vstupy zadavatele'!G22*'vstupy zadavatele'!G27)*($C$23-$D$23)</f>
        <v>0</v>
      </c>
      <c r="H78" s="36">
        <f>-('vstupy zadavatele'!H22*'vstupy zadavatele'!$O$14*'vstupy zadavatele'!H25+'vstupy zadavatele'!H22*'vstupy zadavatele'!$O$15*'vstupy zadavatele'!H26+'vstupy zadavatele'!H22*'vstupy zadavatele'!H27)*($C$23-$D$23)</f>
        <v>0</v>
      </c>
      <c r="I78" s="36">
        <f>-('vstupy zadavatele'!I22*'vstupy zadavatele'!$O$14*'vstupy zadavatele'!I25+'vstupy zadavatele'!I22*'vstupy zadavatele'!$O$15*'vstupy zadavatele'!I26+'vstupy zadavatele'!I22*'vstupy zadavatele'!I27)*($C$23-$D$23)</f>
        <v>0</v>
      </c>
      <c r="J78" s="36">
        <f>-('vstupy zadavatele'!J22*'vstupy zadavatele'!$O$14*'vstupy zadavatele'!J25+'vstupy zadavatele'!J22*'vstupy zadavatele'!$O$15*'vstupy zadavatele'!J26+'vstupy zadavatele'!J22*'vstupy zadavatele'!J27)*($C$23-$D$23)</f>
        <v>0</v>
      </c>
      <c r="K78" s="36">
        <f>-('vstupy zadavatele'!K22*'vstupy zadavatele'!$O$14*'vstupy zadavatele'!K25+'vstupy zadavatele'!K22*'vstupy zadavatele'!$O$15*'vstupy zadavatele'!K26+'vstupy zadavatele'!K22*'vstupy zadavatele'!K27)*($C$23-$D$23)</f>
        <v>0</v>
      </c>
      <c r="L78" s="36">
        <f>-('vstupy zadavatele'!L22*'vstupy zadavatele'!$O$14*'vstupy zadavatele'!L25+'vstupy zadavatele'!L22*'vstupy zadavatele'!$O$15*'vstupy zadavatele'!L26+'vstupy zadavatele'!L22*'vstupy zadavatele'!L27)*($C$23-$D$23)</f>
        <v>0</v>
      </c>
      <c r="M78" s="36">
        <f>-('vstupy zadavatele'!M22*'vstupy zadavatele'!$O$14*'vstupy zadavatele'!M25+'vstupy zadavatele'!M22*'vstupy zadavatele'!$O$15*'vstupy zadavatele'!M26+'vstupy zadavatele'!M22*'vstupy zadavatele'!M27)*($C$23-$D$23)</f>
        <v>0</v>
      </c>
      <c r="N78" s="28"/>
    </row>
    <row r="79" spans="1:16" x14ac:dyDescent="0.2">
      <c r="A79" s="28"/>
      <c r="B79" s="29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</row>
    <row r="80" spans="1:16" s="17" customFormat="1" x14ac:dyDescent="0.2">
      <c r="B80" s="32"/>
      <c r="P80" s="32"/>
    </row>
    <row r="81" spans="1:16" ht="12.75" x14ac:dyDescent="0.2">
      <c r="A81" s="33" t="s">
        <v>202</v>
      </c>
      <c r="B81" s="32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6" ht="12.75" x14ac:dyDescent="0.2">
      <c r="A82" s="81"/>
      <c r="B82" s="45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6" x14ac:dyDescent="0.2">
      <c r="A83" s="31" t="s">
        <v>166</v>
      </c>
      <c r="B83" s="74" t="s">
        <v>116</v>
      </c>
      <c r="C83" s="31"/>
      <c r="D83" s="36">
        <f t="shared" ref="D83:M83" si="15">SUM(D44:D54,D58,D64)</f>
        <v>1099.856</v>
      </c>
      <c r="E83" s="36">
        <f t="shared" si="15"/>
        <v>1099.856</v>
      </c>
      <c r="F83" s="36">
        <f t="shared" si="15"/>
        <v>1099.856</v>
      </c>
      <c r="G83" s="36">
        <f t="shared" si="15"/>
        <v>1099.856</v>
      </c>
      <c r="H83" s="36">
        <f t="shared" si="15"/>
        <v>1099.856</v>
      </c>
      <c r="I83" s="36">
        <f t="shared" si="15"/>
        <v>1099.856</v>
      </c>
      <c r="J83" s="36">
        <f t="shared" si="15"/>
        <v>1099.856</v>
      </c>
      <c r="K83" s="36">
        <f t="shared" si="15"/>
        <v>1099.856</v>
      </c>
      <c r="L83" s="36">
        <f t="shared" si="15"/>
        <v>1099.856</v>
      </c>
      <c r="M83" s="36">
        <f t="shared" si="15"/>
        <v>1099.856</v>
      </c>
      <c r="N83" s="44"/>
    </row>
    <row r="84" spans="1:16" x14ac:dyDescent="0.2">
      <c r="A84" s="31" t="s">
        <v>165</v>
      </c>
      <c r="B84" s="74" t="s">
        <v>116</v>
      </c>
      <c r="C84" s="31"/>
      <c r="D84" s="36">
        <f>'vstupy zadavatele'!D46*'vstupy zadavatele'!$O$38*'nabidka dodavatele'!D61*'vstupy zadavatele'!D49+'vstupy zadavatele'!D46*'vstupy zadavatele'!$O$39*'nabidka dodavatele'!D61*'vstupy zadavatele'!D50+'vstupy zadavatele'!D41*'vstupy zadavatele'!D51</f>
        <v>465.98625711627903</v>
      </c>
      <c r="E84" s="36">
        <f>'vstupy zadavatele'!E46*'vstupy zadavatele'!$O$38*'nabidka dodavatele'!E61*'vstupy zadavatele'!E49+'vstupy zadavatele'!E46*'vstupy zadavatele'!$O$39*'nabidka dodavatele'!E61*'vstupy zadavatele'!E50+'vstupy zadavatele'!E41*'vstupy zadavatele'!E51</f>
        <v>468.447793116279</v>
      </c>
      <c r="F84" s="36">
        <f>'vstupy zadavatele'!F46*'vstupy zadavatele'!$O$38*'nabidka dodavatele'!F61*'vstupy zadavatele'!F49+'vstupy zadavatele'!F46*'vstupy zadavatele'!$O$39*'nabidka dodavatele'!F61*'vstupy zadavatele'!F50+'vstupy zadavatele'!F41*'vstupy zadavatele'!F51</f>
        <v>470.95855983627894</v>
      </c>
      <c r="G84" s="36">
        <f>'vstupy zadavatele'!G46*'vstupy zadavatele'!$O$38*'nabidka dodavatele'!G61*'vstupy zadavatele'!G49+'vstupy zadavatele'!G46*'vstupy zadavatele'!$O$39*'nabidka dodavatele'!G61*'vstupy zadavatele'!G50+'vstupy zadavatele'!G41*'vstupy zadavatele'!G51</f>
        <v>473.51954189067897</v>
      </c>
      <c r="H84" s="36">
        <f>'vstupy zadavatele'!H46*'vstupy zadavatele'!$O$38*'nabidka dodavatele'!H61*'vstupy zadavatele'!H49+'vstupy zadavatele'!H46*'vstupy zadavatele'!$O$39*'nabidka dodavatele'!H61*'vstupy zadavatele'!H50+'vstupy zadavatele'!H41*'vstupy zadavatele'!H51</f>
        <v>476.13174358616698</v>
      </c>
      <c r="I84" s="36">
        <f>'vstupy zadavatele'!I46*'vstupy zadavatele'!$O$38*'nabidka dodavatele'!I61*'vstupy zadavatele'!I49+'vstupy zadavatele'!I46*'vstupy zadavatele'!$O$39*'nabidka dodavatele'!I61*'vstupy zadavatele'!I50+'vstupy zadavatele'!I41*'vstupy zadavatele'!I51</f>
        <v>478.79618931556479</v>
      </c>
      <c r="J84" s="36">
        <f>'vstupy zadavatele'!J46*'vstupy zadavatele'!$O$38*'nabidka dodavatele'!J61*'vstupy zadavatele'!J49+'vstupy zadavatele'!J46*'vstupy zadavatele'!$O$39*'nabidka dodavatele'!J61*'vstupy zadavatele'!J50+'vstupy zadavatele'!J41*'vstupy zadavatele'!J51</f>
        <v>481.51392395955048</v>
      </c>
      <c r="K84" s="36">
        <f>'vstupy zadavatele'!K46*'vstupy zadavatele'!$O$38*'nabidka dodavatele'!K61*'vstupy zadavatele'!K49+'vstupy zadavatele'!K46*'vstupy zadavatele'!$O$39*'nabidka dodavatele'!K61*'vstupy zadavatele'!K50+'vstupy zadavatele'!K41*'vstupy zadavatele'!K51</f>
        <v>484.28601329641594</v>
      </c>
      <c r="L84" s="36">
        <f>'vstupy zadavatele'!L46*'vstupy zadavatele'!$O$38*'nabidka dodavatele'!L61*'vstupy zadavatele'!L49+'vstupy zadavatele'!L46*'vstupy zadavatele'!$O$39*'nabidka dodavatele'!L61*'vstupy zadavatele'!L50+'vstupy zadavatele'!L41*'vstupy zadavatele'!L51</f>
        <v>487.11354442001868</v>
      </c>
      <c r="M84" s="36">
        <f>'vstupy zadavatele'!M46*'vstupy zadavatele'!$O$38*'nabidka dodavatele'!M61*'vstupy zadavatele'!M49+'vstupy zadavatele'!M46*'vstupy zadavatele'!$O$39*'nabidka dodavatele'!M61*'vstupy zadavatele'!M50+'vstupy zadavatele'!M41*'vstupy zadavatele'!M51</f>
        <v>489.99762616609348</v>
      </c>
      <c r="N84" s="44"/>
    </row>
    <row r="85" spans="1:16" x14ac:dyDescent="0.2">
      <c r="A85" s="31" t="s">
        <v>115</v>
      </c>
      <c r="B85" s="74" t="s">
        <v>116</v>
      </c>
      <c r="C85" s="31"/>
      <c r="D85" s="36">
        <f>'vstupy zadavatele'!D35</f>
        <v>430</v>
      </c>
      <c r="E85" s="36">
        <f>'vstupy zadavatele'!E35</f>
        <v>445.04999999999995</v>
      </c>
      <c r="F85" s="36">
        <f>'vstupy zadavatele'!F35</f>
        <v>460.6267499999999</v>
      </c>
      <c r="G85" s="36">
        <f>'vstupy zadavatele'!G35</f>
        <v>476.74868624999988</v>
      </c>
      <c r="H85" s="36">
        <f>'vstupy zadavatele'!H35</f>
        <v>493.43489026874983</v>
      </c>
      <c r="I85" s="36">
        <f>'vstupy zadavatele'!I35</f>
        <v>510.70511142815604</v>
      </c>
      <c r="J85" s="36">
        <f>'vstupy zadavatele'!J35</f>
        <v>528.57979032814148</v>
      </c>
      <c r="K85" s="36">
        <f>'vstupy zadavatele'!K35</f>
        <v>547.08008298962636</v>
      </c>
      <c r="L85" s="36">
        <f>'vstupy zadavatele'!L35</f>
        <v>566.2278858942633</v>
      </c>
      <c r="M85" s="36">
        <f>'vstupy zadavatele'!M35</f>
        <v>586.0458619005625</v>
      </c>
      <c r="N85" s="44"/>
    </row>
    <row r="86" spans="1:16" x14ac:dyDescent="0.2">
      <c r="A86" s="31" t="s">
        <v>193</v>
      </c>
      <c r="B86" s="74" t="s">
        <v>116</v>
      </c>
      <c r="C86" s="31"/>
      <c r="D86" s="36">
        <f>SUM(D83:D85)</f>
        <v>1995.8422571162791</v>
      </c>
      <c r="E86" s="36">
        <f>SUM(E83:E85)</f>
        <v>2013.3537931162789</v>
      </c>
      <c r="F86" s="36">
        <f t="shared" ref="F86:M86" si="16">SUM(F83:F85)</f>
        <v>2031.4413098362788</v>
      </c>
      <c r="G86" s="36">
        <f t="shared" si="16"/>
        <v>2050.124228140679</v>
      </c>
      <c r="H86" s="36">
        <f t="shared" si="16"/>
        <v>2069.422633854917</v>
      </c>
      <c r="I86" s="36">
        <f t="shared" si="16"/>
        <v>2089.3573007437208</v>
      </c>
      <c r="J86" s="36">
        <f t="shared" si="16"/>
        <v>2109.9497142876921</v>
      </c>
      <c r="K86" s="36">
        <f t="shared" si="16"/>
        <v>2131.222096286042</v>
      </c>
      <c r="L86" s="36">
        <f t="shared" si="16"/>
        <v>2153.197430314282</v>
      </c>
      <c r="M86" s="36">
        <f t="shared" si="16"/>
        <v>2175.899488066656</v>
      </c>
      <c r="N86" s="44"/>
    </row>
    <row r="87" spans="1:16" x14ac:dyDescent="0.2">
      <c r="A87" s="31" t="s">
        <v>145</v>
      </c>
      <c r="B87" s="74" t="s">
        <v>119</v>
      </c>
      <c r="C87" s="31"/>
      <c r="D87" s="36">
        <f>'vstupy zadavatele'!D46</f>
        <v>120</v>
      </c>
      <c r="E87" s="36">
        <f>'vstupy zadavatele'!E46</f>
        <v>120</v>
      </c>
      <c r="F87" s="36">
        <f>'vstupy zadavatele'!F46</f>
        <v>120</v>
      </c>
      <c r="G87" s="36">
        <f>'vstupy zadavatele'!G46</f>
        <v>120</v>
      </c>
      <c r="H87" s="36">
        <f>'vstupy zadavatele'!H46</f>
        <v>120</v>
      </c>
      <c r="I87" s="36">
        <f>'vstupy zadavatele'!I46</f>
        <v>120</v>
      </c>
      <c r="J87" s="36">
        <f>'vstupy zadavatele'!J46</f>
        <v>120</v>
      </c>
      <c r="K87" s="36">
        <f>'vstupy zadavatele'!K46</f>
        <v>120</v>
      </c>
      <c r="L87" s="36">
        <f>'vstupy zadavatele'!L46</f>
        <v>120</v>
      </c>
      <c r="M87" s="36">
        <f>'vstupy zadavatele'!M46</f>
        <v>120</v>
      </c>
      <c r="N87" s="44"/>
    </row>
    <row r="88" spans="1:16" x14ac:dyDescent="0.2">
      <c r="A88" s="31" t="s">
        <v>251</v>
      </c>
      <c r="B88" s="74" t="s">
        <v>116</v>
      </c>
      <c r="C88" s="31"/>
      <c r="D88" s="36">
        <f>-('vstupy zadavatele'!D46*'vstupy zadavatele'!$O$38*'vstupy zadavatele'!D49+'vstupy zadavatele'!D46*'vstupy zadavatele'!$O$39*'vstupy zadavatele'!D50+'vstupy zadavatele'!D46*'vstupy zadavatele'!D51)*($C$61-$D$61)</f>
        <v>0</v>
      </c>
      <c r="E88" s="36">
        <f>-('vstupy zadavatele'!E46*'vstupy zadavatele'!$O$38*'vstupy zadavatele'!E49+'vstupy zadavatele'!E46*'vstupy zadavatele'!$O$39*'vstupy zadavatele'!E50+'vstupy zadavatele'!E46*'vstupy zadavatele'!E51)*($C$61-$D$61)</f>
        <v>0</v>
      </c>
      <c r="F88" s="36">
        <f>-('vstupy zadavatele'!F46*'vstupy zadavatele'!$O$38*'vstupy zadavatele'!F49+'vstupy zadavatele'!F46*'vstupy zadavatele'!$O$39*'vstupy zadavatele'!F50+'vstupy zadavatele'!F46*'vstupy zadavatele'!F51)*($C$61-$D$61)</f>
        <v>0</v>
      </c>
      <c r="G88" s="36">
        <f>-('vstupy zadavatele'!G46*'vstupy zadavatele'!$O$38*'vstupy zadavatele'!G49+'vstupy zadavatele'!G46*'vstupy zadavatele'!$O$39*'vstupy zadavatele'!G50+'vstupy zadavatele'!G46*'vstupy zadavatele'!G51)*($C$61-$D$61)</f>
        <v>0</v>
      </c>
      <c r="H88" s="36">
        <f>-('vstupy zadavatele'!H46*'vstupy zadavatele'!$O$38*'vstupy zadavatele'!H49+'vstupy zadavatele'!H46*'vstupy zadavatele'!$O$39*'vstupy zadavatele'!H50+'vstupy zadavatele'!H46*'vstupy zadavatele'!H51)*($C$61-$D$61)</f>
        <v>0</v>
      </c>
      <c r="I88" s="36">
        <f>-('vstupy zadavatele'!I46*'vstupy zadavatele'!$O$38*'vstupy zadavatele'!I49+'vstupy zadavatele'!I46*'vstupy zadavatele'!$O$39*'vstupy zadavatele'!I50+'vstupy zadavatele'!I46*'vstupy zadavatele'!I51)*($C$61-$D$61)</f>
        <v>0</v>
      </c>
      <c r="J88" s="36">
        <f>-('vstupy zadavatele'!J46*'vstupy zadavatele'!$O$38*'vstupy zadavatele'!J49+'vstupy zadavatele'!J46*'vstupy zadavatele'!$O$39*'vstupy zadavatele'!J50+'vstupy zadavatele'!J46*'vstupy zadavatele'!J51)*($C$61-$D$61)</f>
        <v>0</v>
      </c>
      <c r="K88" s="36">
        <f>-('vstupy zadavatele'!K46*'vstupy zadavatele'!$O$38*'vstupy zadavatele'!K49+'vstupy zadavatele'!K46*'vstupy zadavatele'!$O$39*'vstupy zadavatele'!K50+'vstupy zadavatele'!K46*'vstupy zadavatele'!K51)*($C$61-$D$61)</f>
        <v>0</v>
      </c>
      <c r="L88" s="36">
        <f>-('vstupy zadavatele'!L46*'vstupy zadavatele'!$O$38*'vstupy zadavatele'!L49+'vstupy zadavatele'!L46*'vstupy zadavatele'!$O$39*'vstupy zadavatele'!L50+'vstupy zadavatele'!L46*'vstupy zadavatele'!L51)*($C$61-$D$61)</f>
        <v>0</v>
      </c>
      <c r="M88" s="36">
        <f>-('vstupy zadavatele'!M46*'vstupy zadavatele'!$O$38*'vstupy zadavatele'!M49+'vstupy zadavatele'!M46*'vstupy zadavatele'!$O$39*'vstupy zadavatele'!M50+'vstupy zadavatele'!M46*'vstupy zadavatele'!M51)*($C$61-$D$61)</f>
        <v>0</v>
      </c>
      <c r="N88" s="44"/>
    </row>
    <row r="89" spans="1:16" x14ac:dyDescent="0.2">
      <c r="A89" s="44"/>
      <c r="B89" s="45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</row>
    <row r="90" spans="1:16" s="17" customFormat="1" x14ac:dyDescent="0.2">
      <c r="B90" s="32"/>
      <c r="P90" s="32"/>
    </row>
    <row r="91" spans="1:16" s="17" customFormat="1" ht="12.75" x14ac:dyDescent="0.2">
      <c r="A91" s="33" t="s">
        <v>146</v>
      </c>
      <c r="B91" s="32"/>
      <c r="P91" s="32"/>
    </row>
    <row r="92" spans="1:16" x14ac:dyDescent="0.2">
      <c r="A92" s="28"/>
      <c r="B92" s="29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</row>
    <row r="93" spans="1:16" ht="12.75" x14ac:dyDescent="0.2">
      <c r="A93" s="82" t="s">
        <v>204</v>
      </c>
      <c r="B93" s="86" t="s">
        <v>89</v>
      </c>
      <c r="C93" s="82"/>
      <c r="D93" s="82">
        <f>(D73+D78)/D77</f>
        <v>17.991911111111111</v>
      </c>
      <c r="E93" s="82">
        <f t="shared" ref="E93:M93" si="17">(E73+E78)/E77</f>
        <v>17.991911111111111</v>
      </c>
      <c r="F93" s="82">
        <f t="shared" si="17"/>
        <v>17.991911111111111</v>
      </c>
      <c r="G93" s="82">
        <f t="shared" si="17"/>
        <v>17.991911111111111</v>
      </c>
      <c r="H93" s="82">
        <f t="shared" si="17"/>
        <v>17.991911111111111</v>
      </c>
      <c r="I93" s="82">
        <f t="shared" si="17"/>
        <v>17.991911111111111</v>
      </c>
      <c r="J93" s="82">
        <f t="shared" si="17"/>
        <v>17.991911111111111</v>
      </c>
      <c r="K93" s="82">
        <f t="shared" si="17"/>
        <v>17.991911111111111</v>
      </c>
      <c r="L93" s="82">
        <f t="shared" si="17"/>
        <v>17.991911111111111</v>
      </c>
      <c r="M93" s="82">
        <f t="shared" si="17"/>
        <v>17.991911111111111</v>
      </c>
      <c r="N93" s="28"/>
      <c r="O93" s="24"/>
    </row>
    <row r="94" spans="1:16" ht="12.75" x14ac:dyDescent="0.2">
      <c r="A94" s="87" t="s">
        <v>203</v>
      </c>
      <c r="B94" s="88" t="s">
        <v>89</v>
      </c>
      <c r="C94" s="87"/>
      <c r="D94" s="82">
        <f>(D83+D88)/D87</f>
        <v>9.1654666666666671</v>
      </c>
      <c r="E94" s="82">
        <f t="shared" ref="E94:M94" si="18">(E83+E88)/E87</f>
        <v>9.1654666666666671</v>
      </c>
      <c r="F94" s="82">
        <f t="shared" si="18"/>
        <v>9.1654666666666671</v>
      </c>
      <c r="G94" s="82">
        <f t="shared" si="18"/>
        <v>9.1654666666666671</v>
      </c>
      <c r="H94" s="82">
        <f t="shared" si="18"/>
        <v>9.1654666666666671</v>
      </c>
      <c r="I94" s="82">
        <f t="shared" si="18"/>
        <v>9.1654666666666671</v>
      </c>
      <c r="J94" s="82">
        <f t="shared" si="18"/>
        <v>9.1654666666666671</v>
      </c>
      <c r="K94" s="82">
        <f t="shared" si="18"/>
        <v>9.1654666666666671</v>
      </c>
      <c r="L94" s="82">
        <f t="shared" si="18"/>
        <v>9.1654666666666671</v>
      </c>
      <c r="M94" s="82">
        <f t="shared" si="18"/>
        <v>9.1654666666666671</v>
      </c>
      <c r="N94" s="44"/>
      <c r="O94" s="24"/>
    </row>
    <row r="95" spans="1:16" ht="12.75" x14ac:dyDescent="0.2">
      <c r="A95" s="83"/>
      <c r="B95" s="84"/>
      <c r="C95" s="83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44"/>
    </row>
    <row r="96" spans="1:16" s="17" customFormat="1" ht="13.5" thickBot="1" x14ac:dyDescent="0.25">
      <c r="A96" s="92"/>
      <c r="B96" s="93"/>
      <c r="C96" s="92"/>
      <c r="D96" s="94"/>
      <c r="E96" s="94"/>
      <c r="F96" s="94"/>
      <c r="G96" s="94"/>
      <c r="H96" s="94"/>
      <c r="I96" s="94"/>
      <c r="J96" s="94"/>
      <c r="K96" s="94"/>
      <c r="L96" s="94"/>
      <c r="M96" s="94"/>
      <c r="P96" s="32"/>
    </row>
    <row r="97" spans="1:16" s="91" customFormat="1" ht="20.25" thickTop="1" thickBot="1" x14ac:dyDescent="0.35">
      <c r="A97" s="107" t="s">
        <v>200</v>
      </c>
      <c r="B97" s="108" t="s">
        <v>89</v>
      </c>
      <c r="C97" s="109"/>
      <c r="D97" s="110">
        <f>IF(P97=0,SUM(D93*D77,D94*D87)/(D77+D87),"CHYBA!")</f>
        <v>17.440258333333336</v>
      </c>
      <c r="E97" s="89"/>
      <c r="F97" s="89"/>
      <c r="G97" s="89"/>
      <c r="H97" s="89"/>
      <c r="I97" s="89"/>
      <c r="J97" s="89"/>
      <c r="K97" s="89"/>
      <c r="L97" s="89"/>
      <c r="M97" s="89"/>
      <c r="N97" s="90"/>
      <c r="P97" s="96"/>
    </row>
    <row r="98" spans="1:16" ht="12" thickTop="1" x14ac:dyDescent="0.2">
      <c r="B98" s="2"/>
    </row>
    <row r="101" spans="1:16" ht="12.75" x14ac:dyDescent="0.2">
      <c r="A101" s="23" t="s">
        <v>205</v>
      </c>
      <c r="D101" s="24">
        <f t="shared" ref="D101:M101" si="19">D3</f>
        <v>2016</v>
      </c>
      <c r="E101" s="24">
        <f t="shared" si="19"/>
        <v>2017</v>
      </c>
      <c r="F101" s="24">
        <f t="shared" si="19"/>
        <v>2018</v>
      </c>
      <c r="G101" s="24">
        <f t="shared" si="19"/>
        <v>2019</v>
      </c>
      <c r="H101" s="24">
        <f t="shared" si="19"/>
        <v>2020</v>
      </c>
      <c r="I101" s="24">
        <f t="shared" si="19"/>
        <v>2021</v>
      </c>
      <c r="J101" s="24">
        <f t="shared" si="19"/>
        <v>2022</v>
      </c>
      <c r="K101" s="24">
        <f t="shared" si="19"/>
        <v>2023</v>
      </c>
      <c r="L101" s="24">
        <f t="shared" si="19"/>
        <v>2024</v>
      </c>
      <c r="M101" s="24">
        <f t="shared" si="19"/>
        <v>2025</v>
      </c>
    </row>
    <row r="102" spans="1:16" x14ac:dyDescent="0.2">
      <c r="A102" s="31" t="s">
        <v>206</v>
      </c>
      <c r="B102" s="74" t="s">
        <v>89</v>
      </c>
      <c r="C102" s="31"/>
      <c r="D102" s="75">
        <f>D76/D77</f>
        <v>32.670328888888889</v>
      </c>
      <c r="E102" s="75">
        <f>E76/E77</f>
        <v>33.056883355555556</v>
      </c>
      <c r="F102" s="75">
        <f t="shared" ref="F102:M102" si="20">F76/F77</f>
        <v>33.456659536555556</v>
      </c>
      <c r="G102" s="75">
        <f>G76/G77</f>
        <v>33.870114038050559</v>
      </c>
      <c r="H102" s="75">
        <f t="shared" si="20"/>
        <v>34.297719324341081</v>
      </c>
      <c r="I102" s="75">
        <f t="shared" si="20"/>
        <v>34.739964270439835</v>
      </c>
      <c r="J102" s="75">
        <f t="shared" si="20"/>
        <v>35.197354733935867</v>
      </c>
      <c r="K102" s="75">
        <f t="shared" si="20"/>
        <v>35.670414146823774</v>
      </c>
      <c r="L102" s="75">
        <f t="shared" si="20"/>
        <v>36.159684127995639</v>
      </c>
      <c r="M102" s="75">
        <f t="shared" si="20"/>
        <v>36.665725117118079</v>
      </c>
    </row>
    <row r="103" spans="1:16" x14ac:dyDescent="0.2">
      <c r="A103" s="31" t="s">
        <v>207</v>
      </c>
      <c r="B103" s="74" t="s">
        <v>89</v>
      </c>
      <c r="C103" s="31"/>
      <c r="D103" s="75">
        <f>D86/D87</f>
        <v>16.632018809302327</v>
      </c>
      <c r="E103" s="75">
        <f>E86/E87</f>
        <v>16.777948275968992</v>
      </c>
      <c r="F103" s="75">
        <f t="shared" ref="F103:M103" si="21">F86/F87</f>
        <v>16.928677581968991</v>
      </c>
      <c r="G103" s="75">
        <f t="shared" si="21"/>
        <v>17.08436856783899</v>
      </c>
      <c r="H103" s="75">
        <f t="shared" si="21"/>
        <v>17.245188615457643</v>
      </c>
      <c r="I103" s="75">
        <f t="shared" si="21"/>
        <v>17.411310839531005</v>
      </c>
      <c r="J103" s="75">
        <f t="shared" si="21"/>
        <v>17.582914285730769</v>
      </c>
      <c r="K103" s="75">
        <f t="shared" si="21"/>
        <v>17.760184135717015</v>
      </c>
      <c r="L103" s="75">
        <f t="shared" si="21"/>
        <v>17.943311919285684</v>
      </c>
      <c r="M103" s="75">
        <f t="shared" si="21"/>
        <v>18.132495733888799</v>
      </c>
    </row>
    <row r="104" spans="1:16" hidden="1" x14ac:dyDescent="0.2">
      <c r="A104" s="31" t="s">
        <v>147</v>
      </c>
      <c r="B104" s="74" t="s">
        <v>89</v>
      </c>
      <c r="C104" s="31"/>
      <c r="D104" s="75">
        <f>SUM(D102:D103)</f>
        <v>49.302347698191213</v>
      </c>
      <c r="E104" s="75">
        <f t="shared" ref="E104:M104" si="22">SUM(E102:E103)</f>
        <v>49.834831631524551</v>
      </c>
      <c r="F104" s="75">
        <f t="shared" si="22"/>
        <v>50.385337118524546</v>
      </c>
      <c r="G104" s="75">
        <f t="shared" si="22"/>
        <v>50.954482605889552</v>
      </c>
      <c r="H104" s="75">
        <f t="shared" si="22"/>
        <v>51.542907939798724</v>
      </c>
      <c r="I104" s="75">
        <f t="shared" si="22"/>
        <v>52.15127510997084</v>
      </c>
      <c r="J104" s="75">
        <f t="shared" si="22"/>
        <v>52.780269019666633</v>
      </c>
      <c r="K104" s="75">
        <f t="shared" si="22"/>
        <v>53.430598282540785</v>
      </c>
      <c r="L104" s="75">
        <f t="shared" si="22"/>
        <v>54.102996047281323</v>
      </c>
      <c r="M104" s="75">
        <f t="shared" si="22"/>
        <v>54.798220851006874</v>
      </c>
    </row>
    <row r="105" spans="1:16" x14ac:dyDescent="0.2">
      <c r="D105" s="48"/>
      <c r="E105" s="48"/>
      <c r="F105" s="48"/>
      <c r="G105" s="48"/>
      <c r="H105" s="48"/>
      <c r="I105" s="48"/>
      <c r="J105" s="48"/>
      <c r="K105" s="48"/>
      <c r="L105" s="48"/>
      <c r="M105" s="48"/>
    </row>
    <row r="106" spans="1:16" x14ac:dyDescent="0.2"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1:16" ht="12.75" x14ac:dyDescent="0.2">
      <c r="A107" s="23" t="s">
        <v>163</v>
      </c>
      <c r="D107" s="24">
        <f t="shared" ref="D107:M107" si="23">D3</f>
        <v>2016</v>
      </c>
      <c r="E107" s="24">
        <f t="shared" si="23"/>
        <v>2017</v>
      </c>
      <c r="F107" s="24">
        <f t="shared" si="23"/>
        <v>2018</v>
      </c>
      <c r="G107" s="24">
        <f t="shared" si="23"/>
        <v>2019</v>
      </c>
      <c r="H107" s="24">
        <f t="shared" si="23"/>
        <v>2020</v>
      </c>
      <c r="I107" s="24">
        <f t="shared" si="23"/>
        <v>2021</v>
      </c>
      <c r="J107" s="24">
        <f t="shared" si="23"/>
        <v>2022</v>
      </c>
      <c r="K107" s="24">
        <f t="shared" si="23"/>
        <v>2023</v>
      </c>
      <c r="L107" s="24">
        <f t="shared" si="23"/>
        <v>2024</v>
      </c>
      <c r="M107" s="24">
        <f t="shared" si="23"/>
        <v>2025</v>
      </c>
    </row>
    <row r="108" spans="1:16" x14ac:dyDescent="0.2">
      <c r="A108" s="31" t="s">
        <v>208</v>
      </c>
      <c r="B108" s="74" t="s">
        <v>89</v>
      </c>
      <c r="C108" s="31"/>
      <c r="D108" s="75">
        <f>D102</f>
        <v>32.670328888888889</v>
      </c>
      <c r="E108" s="75">
        <f>E102*(1+'vstupy zadavatele'!$B$6)</f>
        <v>33.718021022666669</v>
      </c>
      <c r="F108" s="75">
        <f>F102*(1+'vstupy zadavatele'!$B$6)</f>
        <v>34.125792727286665</v>
      </c>
      <c r="G108" s="75">
        <f>G102*(1+'vstupy zadavatele'!$B$6)</f>
        <v>34.547516318811574</v>
      </c>
      <c r="H108" s="75">
        <f>H102*(1+'vstupy zadavatele'!$B$6)</f>
        <v>34.983673710827901</v>
      </c>
      <c r="I108" s="75">
        <f>I102*(1+'vstupy zadavatele'!$B$6)</f>
        <v>35.434763555848633</v>
      </c>
      <c r="J108" s="75">
        <f>J102*(1+'vstupy zadavatele'!$B$6)</f>
        <v>35.901301828614585</v>
      </c>
      <c r="K108" s="75">
        <f>K102*(1+'vstupy zadavatele'!$B$6)</f>
        <v>36.383822429760251</v>
      </c>
      <c r="L108" s="75">
        <f>L102*(1+'vstupy zadavatele'!$B$6)</f>
        <v>36.882877810555556</v>
      </c>
      <c r="M108" s="75">
        <f>M102*(1+'vstupy zadavatele'!$B$6)</f>
        <v>37.399039619460439</v>
      </c>
    </row>
    <row r="109" spans="1:16" x14ac:dyDescent="0.2">
      <c r="A109" s="31" t="s">
        <v>209</v>
      </c>
      <c r="B109" s="74" t="s">
        <v>89</v>
      </c>
      <c r="C109" s="31"/>
      <c r="D109" s="75">
        <f>D103</f>
        <v>16.632018809302327</v>
      </c>
      <c r="E109" s="75">
        <f>E103*(1+'vstupy zadavatele'!$B$6)</f>
        <v>17.113507241488371</v>
      </c>
      <c r="F109" s="75">
        <f>F103*(1+'vstupy zadavatele'!$B$6)</f>
        <v>17.267251133608372</v>
      </c>
      <c r="G109" s="75">
        <f>G103*(1+'vstupy zadavatele'!$B$6)</f>
        <v>17.42605593919577</v>
      </c>
      <c r="H109" s="75">
        <f>H103*(1+'vstupy zadavatele'!$B$6)</f>
        <v>17.590092387766795</v>
      </c>
      <c r="I109" s="75">
        <f>I103*(1+'vstupy zadavatele'!$B$6)</f>
        <v>17.759537056321626</v>
      </c>
      <c r="J109" s="75">
        <f>J103*(1+'vstupy zadavatele'!$B$6)</f>
        <v>17.934572571445386</v>
      </c>
      <c r="K109" s="75">
        <f>K103*(1+'vstupy zadavatele'!$B$6)</f>
        <v>18.115387818431355</v>
      </c>
      <c r="L109" s="75">
        <f>L103*(1+'vstupy zadavatele'!$B$6)</f>
        <v>18.302178157671399</v>
      </c>
      <c r="M109" s="75">
        <f>M103*(1+'vstupy zadavatele'!$B$6)</f>
        <v>18.495145648566574</v>
      </c>
    </row>
    <row r="110" spans="1:16" hidden="1" x14ac:dyDescent="0.2">
      <c r="A110" s="31" t="s">
        <v>148</v>
      </c>
      <c r="B110" s="74" t="s">
        <v>89</v>
      </c>
      <c r="C110" s="31"/>
      <c r="D110" s="75">
        <f>D104</f>
        <v>49.302347698191213</v>
      </c>
      <c r="E110" s="75" t="e">
        <f>E104*#REF!</f>
        <v>#REF!</v>
      </c>
      <c r="F110" s="75" t="e">
        <f>F104*#REF!</f>
        <v>#REF!</v>
      </c>
      <c r="G110" s="75" t="e">
        <f>G104*#REF!</f>
        <v>#REF!</v>
      </c>
      <c r="H110" s="75" t="e">
        <f>H104*#REF!</f>
        <v>#REF!</v>
      </c>
      <c r="I110" s="75" t="e">
        <f>I104*#REF!</f>
        <v>#REF!</v>
      </c>
      <c r="J110" s="75" t="e">
        <f>J104*#REF!</f>
        <v>#REF!</v>
      </c>
      <c r="K110" s="75" t="e">
        <f>K104*#REF!</f>
        <v>#REF!</v>
      </c>
      <c r="L110" s="75" t="e">
        <f>L104*#REF!</f>
        <v>#REF!</v>
      </c>
      <c r="M110" s="75" t="e">
        <f>M104*#REF!</f>
        <v>#REF!</v>
      </c>
    </row>
    <row r="112" spans="1:16" x14ac:dyDescent="0.2">
      <c r="A112" s="2" t="s">
        <v>250</v>
      </c>
    </row>
    <row r="115" spans="4:13" x14ac:dyDescent="0.2"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</row>
    <row r="116" spans="4:13" x14ac:dyDescent="0.2"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</row>
  </sheetData>
  <sheetProtection password="C99A" sheet="1" objects="1" scenarios="1"/>
  <protectedRanges>
    <protectedRange sqref="D19 D23:M23 D38 D57 D64 D6:D16 D26:D35 D44:D54 D61:M61" name="Oblast1"/>
  </protectedRanges>
  <mergeCells count="9">
    <mergeCell ref="E22:M22"/>
    <mergeCell ref="E37:M37"/>
    <mergeCell ref="E63:M63"/>
    <mergeCell ref="E5:M5"/>
    <mergeCell ref="E18:M18"/>
    <mergeCell ref="E25:M25"/>
    <mergeCell ref="E43:M43"/>
    <mergeCell ref="E56:M56"/>
    <mergeCell ref="E60:M60"/>
  </mergeCells>
  <conditionalFormatting sqref="O23">
    <cfRule type="cellIs" dxfId="16" priority="3" operator="notEqual">
      <formula>"OK"</formula>
    </cfRule>
  </conditionalFormatting>
  <conditionalFormatting sqref="O93">
    <cfRule type="cellIs" dxfId="15" priority="6" operator="notEqual">
      <formula>"OK"</formula>
    </cfRule>
  </conditionalFormatting>
  <conditionalFormatting sqref="O94">
    <cfRule type="cellIs" dxfId="14" priority="5" operator="notEqual">
      <formula>"OK"</formula>
    </cfRule>
  </conditionalFormatting>
  <conditionalFormatting sqref="D23">
    <cfRule type="cellIs" dxfId="13" priority="4" operator="greaterThan">
      <formula>$C$23</formula>
    </cfRule>
  </conditionalFormatting>
  <conditionalFormatting sqref="O26:O35">
    <cfRule type="cellIs" dxfId="12" priority="2" operator="notEqual">
      <formula>"OK"</formula>
    </cfRule>
  </conditionalFormatting>
  <conditionalFormatting sqref="D61">
    <cfRule type="cellIs" dxfId="11" priority="1" operator="greaterThan">
      <formula>$C$23</formula>
    </cfRule>
  </conditionalFormatting>
  <pageMargins left="0.70866141732283472" right="0.70866141732283472" top="0.78740157480314965" bottom="0.78740157480314965" header="0.31496062992125984" footer="0.31496062992125984"/>
  <pageSetup paperSize="9" scale="74" orientation="landscape" horizontalDpi="4294967293" r:id="rId1"/>
  <rowBreaks count="1" manualBreakCount="1">
    <brk id="54" max="1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B1:AC90"/>
  <sheetViews>
    <sheetView tabSelected="1" topLeftCell="E28" zoomScaleNormal="100" zoomScaleSheetLayoutView="85" workbookViewId="0">
      <selection activeCell="P42" sqref="P42"/>
    </sheetView>
  </sheetViews>
  <sheetFormatPr defaultRowHeight="13.5" customHeight="1" x14ac:dyDescent="0.25"/>
  <cols>
    <col min="1" max="2" width="8.5703125" style="143" customWidth="1"/>
    <col min="3" max="3" width="4.5703125" style="143" customWidth="1"/>
    <col min="4" max="4" width="32" style="143" customWidth="1"/>
    <col min="5" max="5" width="6.5703125" style="143" customWidth="1"/>
    <col min="6" max="14" width="8.5703125" style="143" customWidth="1"/>
    <col min="15" max="15" width="28.140625" style="143" customWidth="1"/>
    <col min="16" max="16" width="8.5703125" style="143" customWidth="1"/>
    <col min="17" max="17" width="28.140625" style="143" customWidth="1"/>
    <col min="18" max="21" width="8.5703125" style="143" customWidth="1"/>
    <col min="22" max="22" width="4.5703125" style="143" customWidth="1"/>
    <col min="23" max="23" width="32" style="143" customWidth="1"/>
    <col min="24" max="24" width="8.5703125" style="143" customWidth="1"/>
    <col min="25" max="25" width="28.140625" style="143" bestFit="1" customWidth="1"/>
    <col min="26" max="26" width="9.140625" style="163"/>
    <col min="27" max="27" width="28.140625" style="143" bestFit="1" customWidth="1"/>
    <col min="28" max="28" width="9.140625" style="143"/>
    <col min="29" max="29" width="9.140625" style="164" customWidth="1"/>
    <col min="30" max="16384" width="9.140625" style="143"/>
  </cols>
  <sheetData>
    <row r="1" spans="2:29" ht="13.5" customHeight="1" thickBot="1" x14ac:dyDescent="0.3"/>
    <row r="2" spans="2:29" ht="13.5" customHeight="1" x14ac:dyDescent="0.25"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2"/>
      <c r="N2" s="180"/>
      <c r="O2" s="181"/>
      <c r="P2" s="181"/>
      <c r="Q2" s="181"/>
      <c r="R2" s="181"/>
      <c r="S2" s="182"/>
      <c r="T2" s="256"/>
      <c r="U2" s="180"/>
      <c r="V2" s="181"/>
      <c r="W2" s="181"/>
      <c r="X2" s="181"/>
      <c r="Y2" s="181"/>
      <c r="Z2" s="195"/>
      <c r="AA2" s="181"/>
      <c r="AB2" s="181"/>
      <c r="AC2" s="196"/>
    </row>
    <row r="3" spans="2:29" ht="13.5" customHeight="1" x14ac:dyDescent="0.25">
      <c r="B3" s="365" t="s">
        <v>244</v>
      </c>
      <c r="C3" s="366"/>
      <c r="D3" s="366"/>
      <c r="E3" s="366"/>
      <c r="F3" s="366"/>
      <c r="G3" s="366"/>
      <c r="H3" s="366"/>
      <c r="I3" s="366"/>
      <c r="J3" s="366"/>
      <c r="K3" s="366"/>
      <c r="L3" s="367"/>
      <c r="N3" s="183"/>
      <c r="O3" s="366" t="s">
        <v>242</v>
      </c>
      <c r="P3" s="366"/>
      <c r="Q3" s="366"/>
      <c r="R3" s="366"/>
      <c r="S3" s="185"/>
      <c r="T3" s="256"/>
      <c r="U3" s="183"/>
      <c r="V3" s="184"/>
      <c r="W3" s="184"/>
      <c r="X3" s="184"/>
      <c r="Y3" s="366" t="s">
        <v>243</v>
      </c>
      <c r="Z3" s="366"/>
      <c r="AA3" s="366"/>
      <c r="AB3" s="366"/>
      <c r="AC3" s="198"/>
    </row>
    <row r="4" spans="2:29" ht="13.5" customHeight="1" x14ac:dyDescent="0.25">
      <c r="B4" s="183"/>
      <c r="C4" s="184"/>
      <c r="D4" s="184"/>
      <c r="E4" s="184"/>
      <c r="F4" s="184"/>
      <c r="G4" s="184"/>
      <c r="H4" s="184"/>
      <c r="I4" s="184"/>
      <c r="J4" s="184"/>
      <c r="K4" s="184"/>
      <c r="L4" s="185"/>
      <c r="N4" s="183"/>
      <c r="O4" s="184"/>
      <c r="P4" s="184"/>
      <c r="Q4" s="184"/>
      <c r="R4" s="184"/>
      <c r="S4" s="185"/>
      <c r="T4" s="256"/>
      <c r="U4" s="183"/>
      <c r="V4" s="184"/>
      <c r="W4" s="184"/>
      <c r="X4" s="184"/>
      <c r="Y4" s="184"/>
      <c r="Z4" s="197"/>
      <c r="AA4" s="184"/>
      <c r="AB4" s="184"/>
      <c r="AC4" s="198"/>
    </row>
    <row r="5" spans="2:29" ht="13.5" customHeight="1" x14ac:dyDescent="0.25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5"/>
      <c r="N5" s="183"/>
      <c r="O5" s="349" t="s">
        <v>240</v>
      </c>
      <c r="P5" s="349"/>
      <c r="Q5" s="349"/>
      <c r="R5" s="349"/>
      <c r="S5" s="186"/>
      <c r="T5" s="291"/>
      <c r="U5" s="199"/>
      <c r="V5" s="258"/>
      <c r="W5" s="258"/>
      <c r="X5" s="258"/>
      <c r="Y5" s="349" t="s">
        <v>241</v>
      </c>
      <c r="Z5" s="349"/>
      <c r="AA5" s="349"/>
      <c r="AB5" s="349"/>
      <c r="AC5" s="198"/>
    </row>
    <row r="6" spans="2:29" ht="13.5" customHeight="1" x14ac:dyDescent="0.25">
      <c r="B6" s="183"/>
      <c r="C6" s="184"/>
      <c r="D6" s="184"/>
      <c r="E6" s="184"/>
      <c r="F6" s="184"/>
      <c r="G6" s="184"/>
      <c r="H6" s="184"/>
      <c r="I6" s="184"/>
      <c r="J6" s="184"/>
      <c r="K6" s="184"/>
      <c r="L6" s="185"/>
      <c r="N6" s="183"/>
      <c r="O6" s="184"/>
      <c r="P6" s="184"/>
      <c r="Q6" s="184"/>
      <c r="R6" s="184"/>
      <c r="S6" s="185"/>
      <c r="T6" s="256"/>
      <c r="U6" s="183"/>
      <c r="V6" s="184"/>
      <c r="W6" s="184"/>
      <c r="X6" s="184"/>
      <c r="Y6" s="184"/>
      <c r="Z6" s="197"/>
      <c r="AA6" s="184"/>
      <c r="AB6" s="184"/>
      <c r="AC6" s="198"/>
    </row>
    <row r="7" spans="2:29" ht="13.5" customHeight="1" x14ac:dyDescent="0.2">
      <c r="B7" s="183"/>
      <c r="C7" s="184"/>
      <c r="D7" s="184"/>
      <c r="E7" s="184"/>
      <c r="F7" s="184"/>
      <c r="G7" s="184"/>
      <c r="H7" s="184"/>
      <c r="I7" s="184"/>
      <c r="J7" s="184"/>
      <c r="K7" s="184"/>
      <c r="L7" s="185"/>
      <c r="N7" s="183"/>
      <c r="O7" s="362" t="s">
        <v>235</v>
      </c>
      <c r="P7" s="363"/>
      <c r="Q7" s="363"/>
      <c r="R7" s="364"/>
      <c r="S7" s="187"/>
      <c r="T7" s="279"/>
      <c r="U7" s="183"/>
      <c r="V7" s="184"/>
      <c r="W7" s="184"/>
      <c r="X7" s="184"/>
      <c r="Y7" s="362" t="s">
        <v>236</v>
      </c>
      <c r="Z7" s="363"/>
      <c r="AA7" s="363"/>
      <c r="AB7" s="364"/>
      <c r="AC7" s="198"/>
    </row>
    <row r="8" spans="2:29" ht="13.5" customHeight="1" x14ac:dyDescent="0.2">
      <c r="B8" s="183"/>
      <c r="C8" s="184"/>
      <c r="D8" s="184"/>
      <c r="E8" s="184"/>
      <c r="F8" s="184"/>
      <c r="G8" s="184"/>
      <c r="H8" s="184"/>
      <c r="I8" s="184"/>
      <c r="J8" s="184"/>
      <c r="K8" s="184"/>
      <c r="L8" s="185"/>
      <c r="N8" s="183"/>
      <c r="O8" s="166" t="str">
        <f>$F$25</f>
        <v>Voda pitná VHS</v>
      </c>
      <c r="P8" s="144" t="s">
        <v>98</v>
      </c>
      <c r="Q8" s="165" t="str">
        <f>$I$25</f>
        <v>Voda předaná</v>
      </c>
      <c r="R8" s="144" t="s">
        <v>98</v>
      </c>
      <c r="S8" s="188"/>
      <c r="T8" s="292"/>
      <c r="U8" s="183"/>
      <c r="V8" s="184"/>
      <c r="W8" s="184"/>
      <c r="X8" s="184"/>
      <c r="Y8" s="166" t="str">
        <f>$F$25</f>
        <v>Voda pitná VHS</v>
      </c>
      <c r="Z8" s="144" t="s">
        <v>98</v>
      </c>
      <c r="AA8" s="165" t="str">
        <f>$I$25</f>
        <v>Voda předaná</v>
      </c>
      <c r="AB8" s="144" t="s">
        <v>98</v>
      </c>
      <c r="AC8" s="198"/>
    </row>
    <row r="9" spans="2:29" ht="13.5" customHeight="1" x14ac:dyDescent="0.2"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5"/>
      <c r="N9" s="183"/>
      <c r="O9" s="145" t="s">
        <v>234</v>
      </c>
      <c r="P9" s="240">
        <f>'vstupy zadavatele'!O14</f>
        <v>0.95</v>
      </c>
      <c r="Q9" s="145" t="str">
        <f>O9</f>
        <v>poměr vody vyrobené k vodě k realizaci</v>
      </c>
      <c r="R9" s="240">
        <f>'vstupy zadavatele'!O38</f>
        <v>0.95</v>
      </c>
      <c r="S9" s="189"/>
      <c r="T9" s="293"/>
      <c r="U9" s="183"/>
      <c r="V9" s="184"/>
      <c r="W9" s="184"/>
      <c r="X9" s="184"/>
      <c r="Y9" s="145" t="s">
        <v>234</v>
      </c>
      <c r="Z9" s="240">
        <f>'vstupy zadavatele'!O14</f>
        <v>0.95</v>
      </c>
      <c r="AA9" s="145" t="str">
        <f>Y9</f>
        <v>poměr vody vyrobené k vodě k realizaci</v>
      </c>
      <c r="AB9" s="240">
        <f>'vstupy zadavatele'!O38</f>
        <v>0.95</v>
      </c>
      <c r="AC9" s="198"/>
    </row>
    <row r="10" spans="2:29" ht="13.5" customHeight="1" x14ac:dyDescent="0.2">
      <c r="B10" s="183"/>
      <c r="C10" s="184"/>
      <c r="D10" s="184"/>
      <c r="E10" s="184"/>
      <c r="F10" s="184"/>
      <c r="G10" s="184"/>
      <c r="H10" s="184"/>
      <c r="I10" s="184"/>
      <c r="J10" s="184"/>
      <c r="K10" s="184"/>
      <c r="L10" s="185"/>
      <c r="N10" s="183"/>
      <c r="O10" s="145" t="s">
        <v>233</v>
      </c>
      <c r="P10" s="240">
        <f>'vstupy zadavatele'!O15</f>
        <v>0.05</v>
      </c>
      <c r="Q10" s="145" t="str">
        <f>O10</f>
        <v>poměr vody převzaté k vodě k realizaci</v>
      </c>
      <c r="R10" s="240">
        <f>'vstupy zadavatele'!O39</f>
        <v>0.05</v>
      </c>
      <c r="S10" s="189"/>
      <c r="T10" s="293"/>
      <c r="U10" s="183"/>
      <c r="V10" s="184"/>
      <c r="W10" s="184"/>
      <c r="X10" s="184"/>
      <c r="Y10" s="145" t="s">
        <v>233</v>
      </c>
      <c r="Z10" s="240">
        <f>'vstupy zadavatele'!O15</f>
        <v>0.05</v>
      </c>
      <c r="AA10" s="145" t="str">
        <f>Y10</f>
        <v>poměr vody převzaté k vodě k realizaci</v>
      </c>
      <c r="AB10" s="240">
        <f>'vstupy zadavatele'!O39</f>
        <v>0.05</v>
      </c>
      <c r="AC10" s="198"/>
    </row>
    <row r="11" spans="2:29" ht="13.5" customHeight="1" x14ac:dyDescent="0.25"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5"/>
      <c r="N11" s="183"/>
      <c r="O11" s="184"/>
      <c r="P11" s="184"/>
      <c r="Q11" s="184"/>
      <c r="R11" s="184"/>
      <c r="S11" s="185"/>
      <c r="T11" s="256"/>
      <c r="U11" s="183"/>
      <c r="V11" s="184"/>
      <c r="W11" s="184"/>
      <c r="X11" s="184"/>
      <c r="Y11" s="184"/>
      <c r="Z11" s="197"/>
      <c r="AA11" s="184"/>
      <c r="AB11" s="184"/>
      <c r="AC11" s="198"/>
    </row>
    <row r="12" spans="2:29" ht="15.75" x14ac:dyDescent="0.25"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5"/>
      <c r="M12" s="276"/>
      <c r="N12" s="183"/>
      <c r="O12" s="362" t="s">
        <v>290</v>
      </c>
      <c r="P12" s="363"/>
      <c r="Q12" s="363"/>
      <c r="R12" s="364"/>
      <c r="S12" s="185"/>
      <c r="T12" s="279"/>
      <c r="U12" s="200"/>
      <c r="V12" s="295"/>
      <c r="W12" s="295"/>
      <c r="X12" s="295"/>
      <c r="Y12" s="362" t="s">
        <v>215</v>
      </c>
      <c r="Z12" s="363"/>
      <c r="AA12" s="363"/>
      <c r="AB12" s="364"/>
      <c r="AC12" s="198"/>
    </row>
    <row r="13" spans="2:29" ht="13.5" customHeight="1" x14ac:dyDescent="0.25"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276"/>
      <c r="N13" s="183"/>
      <c r="O13" s="166" t="str">
        <f>$F$25</f>
        <v>Voda pitná VHS</v>
      </c>
      <c r="P13" s="144" t="s">
        <v>89</v>
      </c>
      <c r="Q13" s="165" t="str">
        <f>$I$25</f>
        <v>Voda předaná</v>
      </c>
      <c r="R13" s="144" t="s">
        <v>89</v>
      </c>
      <c r="S13" s="185"/>
      <c r="T13" s="279"/>
      <c r="U13" s="200"/>
      <c r="V13" s="295"/>
      <c r="W13" s="295"/>
      <c r="X13" s="295"/>
      <c r="Y13" s="166" t="str">
        <f>$F$25</f>
        <v>Voda pitná VHS</v>
      </c>
      <c r="Z13" s="144" t="s">
        <v>89</v>
      </c>
      <c r="AA13" s="165" t="str">
        <f>$I$25</f>
        <v>Voda předaná</v>
      </c>
      <c r="AB13" s="144" t="s">
        <v>89</v>
      </c>
      <c r="AC13" s="198"/>
    </row>
    <row r="14" spans="2:29" ht="13.5" customHeight="1" x14ac:dyDescent="0.25"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5"/>
      <c r="M14" s="276"/>
      <c r="N14" s="183"/>
      <c r="O14" s="145" t="s">
        <v>127</v>
      </c>
      <c r="P14" s="243">
        <f>'vstupy zadavatele'!D25</f>
        <v>2.3037391458444096</v>
      </c>
      <c r="Q14" s="145" t="s">
        <v>127</v>
      </c>
      <c r="R14" s="244">
        <f>'vstupy zadavatele'!D49</f>
        <v>2.1158552492489147</v>
      </c>
      <c r="S14" s="185"/>
      <c r="T14" s="294"/>
      <c r="U14" s="200"/>
      <c r="V14" s="295"/>
      <c r="W14" s="295"/>
      <c r="X14" s="295"/>
      <c r="Y14" s="145" t="s">
        <v>127</v>
      </c>
      <c r="Z14" s="243">
        <f>'vstupy zadavatele'!D25</f>
        <v>2.3037391458444096</v>
      </c>
      <c r="AA14" s="145" t="s">
        <v>127</v>
      </c>
      <c r="AB14" s="244">
        <f>'vstupy zadavatele'!D49</f>
        <v>2.1158552492489147</v>
      </c>
      <c r="AC14" s="198"/>
    </row>
    <row r="15" spans="2:29" ht="13.5" customHeight="1" x14ac:dyDescent="0.25">
      <c r="B15" s="183"/>
      <c r="C15" s="184"/>
      <c r="D15" s="184"/>
      <c r="E15" s="184"/>
      <c r="F15" s="184"/>
      <c r="G15" s="184"/>
      <c r="H15" s="184"/>
      <c r="I15" s="184"/>
      <c r="J15" s="184"/>
      <c r="K15" s="184"/>
      <c r="L15" s="185"/>
      <c r="M15" s="276"/>
      <c r="N15" s="183"/>
      <c r="O15" s="145" t="s">
        <v>128</v>
      </c>
      <c r="P15" s="243">
        <f>'vstupy zadavatele'!D26</f>
        <v>15.54</v>
      </c>
      <c r="Q15" s="145" t="s">
        <v>128</v>
      </c>
      <c r="R15" s="244">
        <f>'vstupy zadavatele'!D50</f>
        <v>15.54</v>
      </c>
      <c r="S15" s="185"/>
      <c r="T15" s="293"/>
      <c r="U15" s="200"/>
      <c r="V15" s="295"/>
      <c r="W15" s="295"/>
      <c r="X15" s="295"/>
      <c r="Y15" s="145" t="s">
        <v>128</v>
      </c>
      <c r="Z15" s="243">
        <f>'vstupy zadavatele'!D26</f>
        <v>15.54</v>
      </c>
      <c r="AA15" s="145" t="s">
        <v>128</v>
      </c>
      <c r="AB15" s="244">
        <f>'vstupy zadavatele'!D50</f>
        <v>15.54</v>
      </c>
      <c r="AC15" s="198"/>
    </row>
    <row r="16" spans="2:29" ht="12.75" x14ac:dyDescent="0.2"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5"/>
      <c r="M16" s="277"/>
      <c r="N16" s="183"/>
      <c r="O16" s="145" t="s">
        <v>129</v>
      </c>
      <c r="P16" s="244">
        <f>'vstupy zadavatele'!D27</f>
        <v>0.23148148148148148</v>
      </c>
      <c r="Q16" s="145" t="s">
        <v>129</v>
      </c>
      <c r="R16" s="244">
        <f>'vstupy zadavatele'!D51</f>
        <v>0.15476994450317125</v>
      </c>
      <c r="S16" s="185"/>
      <c r="T16" s="279"/>
      <c r="U16" s="201"/>
      <c r="V16" s="225"/>
      <c r="W16" s="225"/>
      <c r="X16" s="225"/>
      <c r="Y16" s="145" t="s">
        <v>129</v>
      </c>
      <c r="Z16" s="244">
        <f>'vstupy zadavatele'!D27</f>
        <v>0.23148148148148148</v>
      </c>
      <c r="AA16" s="145" t="s">
        <v>129</v>
      </c>
      <c r="AB16" s="244">
        <f>'vstupy zadavatele'!D51</f>
        <v>0.15476994450317125</v>
      </c>
      <c r="AC16" s="198"/>
    </row>
    <row r="17" spans="2:29" ht="13.5" customHeight="1" x14ac:dyDescent="0.2">
      <c r="B17" s="183"/>
      <c r="C17" s="184"/>
      <c r="D17" s="184"/>
      <c r="E17" s="184"/>
      <c r="F17" s="184"/>
      <c r="G17" s="184"/>
      <c r="H17" s="184"/>
      <c r="I17" s="184"/>
      <c r="J17" s="184"/>
      <c r="K17" s="184"/>
      <c r="L17" s="185"/>
      <c r="M17" s="278"/>
      <c r="N17" s="183"/>
      <c r="O17" s="184"/>
      <c r="P17" s="184"/>
      <c r="Q17" s="184"/>
      <c r="R17" s="184"/>
      <c r="S17" s="185"/>
      <c r="T17" s="279"/>
      <c r="U17" s="201"/>
      <c r="V17" s="225"/>
      <c r="W17" s="225"/>
      <c r="X17" s="225"/>
      <c r="Y17" s="202"/>
      <c r="Z17" s="184"/>
      <c r="AA17" s="184"/>
      <c r="AB17" s="184"/>
      <c r="AC17" s="198"/>
    </row>
    <row r="18" spans="2:29" ht="13.5" customHeight="1" x14ac:dyDescent="0.25">
      <c r="B18" s="183"/>
      <c r="C18" s="349" t="s">
        <v>0</v>
      </c>
      <c r="D18" s="349"/>
      <c r="E18" s="349"/>
      <c r="F18" s="349"/>
      <c r="G18" s="349"/>
      <c r="H18" s="349"/>
      <c r="I18" s="349"/>
      <c r="J18" s="349"/>
      <c r="K18" s="349"/>
      <c r="L18" s="186"/>
      <c r="M18" s="279"/>
      <c r="N18" s="183"/>
      <c r="O18" s="362" t="s">
        <v>293</v>
      </c>
      <c r="P18" s="363"/>
      <c r="Q18" s="363"/>
      <c r="R18" s="364"/>
      <c r="S18" s="185"/>
      <c r="T18" s="294"/>
      <c r="U18" s="201"/>
      <c r="V18" s="225"/>
      <c r="W18" s="225"/>
      <c r="X18" s="225"/>
      <c r="Y18" s="362" t="s">
        <v>295</v>
      </c>
      <c r="Z18" s="363"/>
      <c r="AA18" s="363"/>
      <c r="AB18" s="364"/>
      <c r="AC18" s="198"/>
    </row>
    <row r="19" spans="2:29" ht="13.5" customHeight="1" x14ac:dyDescent="0.25">
      <c r="B19" s="183"/>
      <c r="C19" s="349" t="s">
        <v>1</v>
      </c>
      <c r="D19" s="349"/>
      <c r="E19" s="349"/>
      <c r="F19" s="349"/>
      <c r="G19" s="349"/>
      <c r="H19" s="349"/>
      <c r="I19" s="349"/>
      <c r="J19" s="349"/>
      <c r="K19" s="349"/>
      <c r="L19" s="186"/>
      <c r="M19" s="279"/>
      <c r="N19" s="183"/>
      <c r="O19" s="166" t="str">
        <f>$F$25</f>
        <v>Voda pitná VHS</v>
      </c>
      <c r="P19" s="144" t="s">
        <v>89</v>
      </c>
      <c r="Q19" s="165" t="str">
        <f>$I$25</f>
        <v>Voda předaná</v>
      </c>
      <c r="R19" s="144" t="s">
        <v>89</v>
      </c>
      <c r="S19" s="185"/>
      <c r="T19" s="279"/>
      <c r="U19" s="201"/>
      <c r="V19" s="225"/>
      <c r="W19" s="225"/>
      <c r="X19" s="225"/>
      <c r="Y19" s="166" t="str">
        <f>$F$25</f>
        <v>Voda pitná VHS</v>
      </c>
      <c r="Z19" s="144" t="s">
        <v>89</v>
      </c>
      <c r="AA19" s="165" t="str">
        <f>$I$25</f>
        <v>Voda předaná</v>
      </c>
      <c r="AB19" s="144" t="s">
        <v>89</v>
      </c>
      <c r="AC19" s="198"/>
    </row>
    <row r="20" spans="2:29" ht="13.5" customHeight="1" x14ac:dyDescent="0.25">
      <c r="B20" s="183"/>
      <c r="C20" s="212"/>
      <c r="D20" s="212"/>
      <c r="E20" s="212"/>
      <c r="F20" s="212"/>
      <c r="G20" s="212"/>
      <c r="H20" s="212"/>
      <c r="I20" s="212"/>
      <c r="J20" s="212"/>
      <c r="K20" s="212"/>
      <c r="L20" s="186"/>
      <c r="M20" s="279"/>
      <c r="N20" s="183"/>
      <c r="O20" s="145" t="s">
        <v>291</v>
      </c>
      <c r="P20" s="335">
        <v>0</v>
      </c>
      <c r="Q20" s="145" t="s">
        <v>291</v>
      </c>
      <c r="R20" s="335">
        <v>0</v>
      </c>
      <c r="S20" s="185"/>
      <c r="T20" s="279"/>
      <c r="U20" s="201"/>
      <c r="V20" s="225"/>
      <c r="W20" s="225"/>
      <c r="X20" s="225"/>
      <c r="Y20" s="145" t="s">
        <v>291</v>
      </c>
      <c r="Z20" s="335">
        <f>P20</f>
        <v>0</v>
      </c>
      <c r="AA20" s="145" t="s">
        <v>291</v>
      </c>
      <c r="AB20" s="335">
        <f>R20</f>
        <v>0</v>
      </c>
      <c r="AC20" s="198"/>
    </row>
    <row r="21" spans="2:29" ht="13.5" customHeight="1" x14ac:dyDescent="0.25">
      <c r="B21" s="183"/>
      <c r="C21" s="212"/>
      <c r="D21" s="212"/>
      <c r="E21" s="212"/>
      <c r="F21" s="212"/>
      <c r="G21" s="212"/>
      <c r="H21" s="212"/>
      <c r="I21" s="212"/>
      <c r="J21" s="212"/>
      <c r="K21" s="212"/>
      <c r="L21" s="186"/>
      <c r="M21" s="280"/>
      <c r="N21" s="183"/>
      <c r="O21" s="166" t="str">
        <f>$F$25</f>
        <v>Voda pitná VHS</v>
      </c>
      <c r="P21" s="144" t="s">
        <v>292</v>
      </c>
      <c r="Q21" s="165" t="str">
        <f>$I$25</f>
        <v>Voda předaná</v>
      </c>
      <c r="R21" s="144" t="s">
        <v>292</v>
      </c>
      <c r="S21" s="185"/>
      <c r="T21" s="280"/>
      <c r="U21" s="201"/>
      <c r="V21" s="225"/>
      <c r="W21" s="225"/>
      <c r="X21" s="225"/>
      <c r="Y21" s="166" t="str">
        <f>$F$25</f>
        <v>Voda pitná VHS</v>
      </c>
      <c r="Z21" s="144" t="s">
        <v>292</v>
      </c>
      <c r="AA21" s="165" t="str">
        <f>$I$25</f>
        <v>Voda předaná</v>
      </c>
      <c r="AB21" s="144" t="s">
        <v>292</v>
      </c>
      <c r="AC21" s="198"/>
    </row>
    <row r="22" spans="2:29" ht="13.5" customHeight="1" x14ac:dyDescent="0.2">
      <c r="B22" s="183"/>
      <c r="C22" s="213" t="s">
        <v>2</v>
      </c>
      <c r="D22" s="213"/>
      <c r="E22" s="214" t="s">
        <v>3</v>
      </c>
      <c r="F22" s="215"/>
      <c r="G22" s="216">
        <v>0</v>
      </c>
      <c r="H22" s="213"/>
      <c r="I22" s="213"/>
      <c r="J22" s="213"/>
      <c r="K22" s="213"/>
      <c r="L22" s="217"/>
      <c r="M22" s="281"/>
      <c r="N22" s="183"/>
      <c r="O22" s="145" t="s">
        <v>277</v>
      </c>
      <c r="P22" s="334">
        <v>0</v>
      </c>
      <c r="Q22" s="145" t="s">
        <v>277</v>
      </c>
      <c r="R22" s="334">
        <v>0</v>
      </c>
      <c r="S22" s="185"/>
      <c r="T22" s="281"/>
      <c r="U22" s="201"/>
      <c r="V22" s="225"/>
      <c r="W22" s="225"/>
      <c r="X22" s="225"/>
      <c r="Y22" s="145" t="s">
        <v>277</v>
      </c>
      <c r="Z22" s="334">
        <v>0</v>
      </c>
      <c r="AA22" s="145" t="s">
        <v>277</v>
      </c>
      <c r="AB22" s="334">
        <v>0</v>
      </c>
      <c r="AC22" s="198"/>
    </row>
    <row r="23" spans="2:29" ht="13.5" customHeight="1" x14ac:dyDescent="0.2">
      <c r="B23" s="183"/>
      <c r="C23" s="213"/>
      <c r="D23" s="218">
        <f>R33</f>
        <v>2016</v>
      </c>
      <c r="E23" s="213" t="s">
        <v>4</v>
      </c>
      <c r="F23" s="213"/>
      <c r="G23" s="213"/>
      <c r="H23" s="213"/>
      <c r="I23" s="213"/>
      <c r="J23" s="213"/>
      <c r="K23" s="215" t="s">
        <v>5</v>
      </c>
      <c r="L23" s="219"/>
      <c r="M23" s="281"/>
      <c r="N23" s="183"/>
      <c r="O23" s="184"/>
      <c r="P23" s="184"/>
      <c r="Q23" s="184"/>
      <c r="R23" s="184"/>
      <c r="S23" s="185"/>
      <c r="T23" s="281"/>
      <c r="U23" s="201"/>
      <c r="V23" s="225"/>
      <c r="W23" s="225"/>
      <c r="X23" s="225"/>
      <c r="Y23" s="202"/>
      <c r="Z23" s="184"/>
      <c r="AA23" s="184"/>
      <c r="AB23" s="184"/>
      <c r="AC23" s="198"/>
    </row>
    <row r="24" spans="2:29" ht="13.5" customHeight="1" x14ac:dyDescent="0.2">
      <c r="B24" s="183"/>
      <c r="C24" s="3"/>
      <c r="D24" s="351" t="s">
        <v>227</v>
      </c>
      <c r="E24" s="352"/>
      <c r="F24" s="352"/>
      <c r="G24" s="352"/>
      <c r="H24" s="352"/>
      <c r="I24" s="352"/>
      <c r="J24" s="352"/>
      <c r="K24" s="353"/>
      <c r="L24" s="187"/>
      <c r="M24" s="281"/>
      <c r="N24" s="183"/>
      <c r="O24" s="362" t="s">
        <v>238</v>
      </c>
      <c r="P24" s="363"/>
      <c r="Q24" s="363"/>
      <c r="R24" s="364"/>
      <c r="S24" s="185"/>
      <c r="T24" s="281"/>
      <c r="U24" s="201"/>
      <c r="V24" s="225"/>
      <c r="W24" s="225"/>
      <c r="X24" s="225"/>
      <c r="Y24" s="362" t="s">
        <v>228</v>
      </c>
      <c r="Z24" s="363"/>
      <c r="AA24" s="363"/>
      <c r="AB24" s="364"/>
      <c r="AC24" s="198"/>
    </row>
    <row r="25" spans="2:29" ht="13.5" customHeight="1" x14ac:dyDescent="0.25">
      <c r="B25" s="183"/>
      <c r="C25" s="4"/>
      <c r="D25" s="5" t="s">
        <v>6</v>
      </c>
      <c r="E25" s="6" t="s">
        <v>7</v>
      </c>
      <c r="F25" s="354" t="s">
        <v>225</v>
      </c>
      <c r="G25" s="355"/>
      <c r="H25" s="356"/>
      <c r="I25" s="357" t="s">
        <v>226</v>
      </c>
      <c r="J25" s="358"/>
      <c r="K25" s="359"/>
      <c r="L25" s="187"/>
      <c r="M25" s="281"/>
      <c r="N25" s="190"/>
      <c r="O25" s="166" t="str">
        <f>$F$25</f>
        <v>Voda pitná VHS</v>
      </c>
      <c r="P25" s="112" t="s">
        <v>73</v>
      </c>
      <c r="Q25" s="165" t="str">
        <f>$I$25</f>
        <v>Voda předaná</v>
      </c>
      <c r="R25" s="177" t="s">
        <v>73</v>
      </c>
      <c r="S25" s="187"/>
      <c r="T25" s="281"/>
      <c r="U25" s="201"/>
      <c r="V25" s="360" t="s">
        <v>8</v>
      </c>
      <c r="W25" s="360" t="s">
        <v>6</v>
      </c>
      <c r="X25" s="6" t="s">
        <v>7</v>
      </c>
      <c r="Y25" s="354" t="str">
        <f>F25</f>
        <v>Voda pitná VHS</v>
      </c>
      <c r="Z25" s="356"/>
      <c r="AA25" s="357" t="str">
        <f>I25</f>
        <v>Voda předaná</v>
      </c>
      <c r="AB25" s="359"/>
      <c r="AC25" s="198"/>
    </row>
    <row r="26" spans="2:29" ht="13.5" customHeight="1" x14ac:dyDescent="0.25">
      <c r="B26" s="183"/>
      <c r="C26" s="7" t="s">
        <v>8</v>
      </c>
      <c r="D26" s="8"/>
      <c r="E26" s="7" t="s">
        <v>9</v>
      </c>
      <c r="F26" s="7" t="s">
        <v>10</v>
      </c>
      <c r="G26" s="7" t="s">
        <v>11</v>
      </c>
      <c r="H26" s="7" t="s">
        <v>12</v>
      </c>
      <c r="I26" s="7" t="s">
        <v>10</v>
      </c>
      <c r="J26" s="7" t="s">
        <v>11</v>
      </c>
      <c r="K26" s="9" t="s">
        <v>12</v>
      </c>
      <c r="L26" s="187"/>
      <c r="M26" s="281"/>
      <c r="N26" s="190"/>
      <c r="O26" s="145" t="str">
        <f>D56</f>
        <v>Voda pitná fakturovaná</v>
      </c>
      <c r="P26" s="241">
        <f>'vstupy zadavatele'!D22/1000</f>
        <v>1.8</v>
      </c>
      <c r="Q26" s="145" t="str">
        <f>O26</f>
        <v>Voda pitná fakturovaná</v>
      </c>
      <c r="R26" s="242">
        <f>'vstupy zadavatele'!D46/1000</f>
        <v>0.12</v>
      </c>
      <c r="S26" s="187"/>
      <c r="T26" s="281"/>
      <c r="U26" s="201"/>
      <c r="V26" s="361"/>
      <c r="W26" s="361"/>
      <c r="X26" s="7" t="s">
        <v>9</v>
      </c>
      <c r="Y26" s="7" t="s">
        <v>216</v>
      </c>
      <c r="Z26" s="7" t="s">
        <v>12</v>
      </c>
      <c r="AA26" s="7" t="str">
        <f>Y26</f>
        <v>Nárok provozovatele</v>
      </c>
      <c r="AB26" s="9" t="s">
        <v>12</v>
      </c>
      <c r="AC26" s="198"/>
    </row>
    <row r="27" spans="2:29" ht="13.5" customHeight="1" x14ac:dyDescent="0.25">
      <c r="B27" s="183"/>
      <c r="C27" s="10" t="s">
        <v>13</v>
      </c>
      <c r="D27" s="10" t="s">
        <v>14</v>
      </c>
      <c r="E27" s="10" t="s">
        <v>15</v>
      </c>
      <c r="F27" s="10" t="s">
        <v>16</v>
      </c>
      <c r="G27" s="10" t="s">
        <v>17</v>
      </c>
      <c r="H27" s="10" t="s">
        <v>18</v>
      </c>
      <c r="I27" s="10" t="s">
        <v>19</v>
      </c>
      <c r="J27" s="10" t="s">
        <v>20</v>
      </c>
      <c r="K27" s="11" t="s">
        <v>21</v>
      </c>
      <c r="L27" s="220"/>
      <c r="M27" s="281"/>
      <c r="N27" s="190"/>
      <c r="O27" s="178"/>
      <c r="P27" s="179"/>
      <c r="Q27" s="178"/>
      <c r="R27" s="179"/>
      <c r="S27" s="191"/>
      <c r="T27" s="281"/>
      <c r="U27" s="203">
        <v>1</v>
      </c>
      <c r="V27" s="296" t="s">
        <v>13</v>
      </c>
      <c r="W27" s="10" t="s">
        <v>14</v>
      </c>
      <c r="X27" s="10" t="s">
        <v>15</v>
      </c>
      <c r="Y27" s="10" t="s">
        <v>217</v>
      </c>
      <c r="Z27" s="10" t="s">
        <v>218</v>
      </c>
      <c r="AA27" s="10" t="s">
        <v>219</v>
      </c>
      <c r="AB27" s="11" t="s">
        <v>220</v>
      </c>
      <c r="AC27" s="198"/>
    </row>
    <row r="28" spans="2:29" ht="13.5" customHeight="1" x14ac:dyDescent="0.25">
      <c r="B28" s="183"/>
      <c r="C28" s="12" t="s">
        <v>22</v>
      </c>
      <c r="D28" s="13" t="s">
        <v>23</v>
      </c>
      <c r="E28" s="14" t="s">
        <v>24</v>
      </c>
      <c r="F28" s="15">
        <f>SUM(F29:F32)</f>
        <v>7.6201520000000018</v>
      </c>
      <c r="G28" s="15">
        <f>SUM(G29:G32)</f>
        <v>7.6201520000000018</v>
      </c>
      <c r="H28" s="15">
        <f>F28-G28</f>
        <v>0</v>
      </c>
      <c r="I28" s="15">
        <f>SUM(I29:I32)</f>
        <v>0.4779862571162789</v>
      </c>
      <c r="J28" s="15">
        <f>SUM(J29:J32)</f>
        <v>0.4779862571162789</v>
      </c>
      <c r="K28" s="16">
        <f t="shared" ref="K28:K63" si="0">I28-J28</f>
        <v>0</v>
      </c>
      <c r="L28" s="221"/>
      <c r="M28" s="281"/>
      <c r="N28" s="190"/>
      <c r="O28" s="362" t="s">
        <v>237</v>
      </c>
      <c r="P28" s="363"/>
      <c r="Q28" s="363"/>
      <c r="R28" s="364"/>
      <c r="S28" s="189"/>
      <c r="T28" s="281"/>
      <c r="U28" s="203">
        <v>2</v>
      </c>
      <c r="V28" s="12" t="s">
        <v>22</v>
      </c>
      <c r="W28" s="13" t="s">
        <v>23</v>
      </c>
      <c r="X28" s="14" t="s">
        <v>24</v>
      </c>
      <c r="Y28" s="15">
        <f>SUM(Y29:Y32)</f>
        <v>7.6201520000000018</v>
      </c>
      <c r="Z28" s="15">
        <f t="shared" ref="Z28:Z63" si="1">F28-Y28</f>
        <v>0</v>
      </c>
      <c r="AA28" s="15">
        <f>SUM(AA29:AA32)</f>
        <v>0.4779862571162789</v>
      </c>
      <c r="AB28" s="16">
        <f t="shared" ref="AB28:AB63" si="2">I28-AA28</f>
        <v>0</v>
      </c>
      <c r="AC28" s="198"/>
    </row>
    <row r="29" spans="2:29" ht="13.5" customHeight="1" x14ac:dyDescent="0.2">
      <c r="B29" s="183"/>
      <c r="C29" s="111" t="s">
        <v>25</v>
      </c>
      <c r="D29" s="79" t="s">
        <v>26</v>
      </c>
      <c r="E29" s="112" t="s">
        <v>24</v>
      </c>
      <c r="F29" s="236">
        <f>G29</f>
        <v>5.200000000000002</v>
      </c>
      <c r="G29" s="77">
        <f>P26*P14*'nabidka dodavatele'!D23*P9</f>
        <v>5.200000000000002</v>
      </c>
      <c r="H29" s="15">
        <f t="shared" ref="H29:H63" si="3">F29-G29</f>
        <v>0</v>
      </c>
      <c r="I29" s="236">
        <f>J29</f>
        <v>0.31839389790697659</v>
      </c>
      <c r="J29" s="77">
        <f>R26*R14*'nabidka dodavatele'!D61*R9</f>
        <v>0.31839389790697659</v>
      </c>
      <c r="K29" s="16">
        <f t="shared" si="0"/>
        <v>0</v>
      </c>
      <c r="L29" s="221"/>
      <c r="M29" s="281"/>
      <c r="N29" s="192"/>
      <c r="O29" s="166" t="str">
        <f>$F$25</f>
        <v>Voda pitná VHS</v>
      </c>
      <c r="P29" s="112" t="s">
        <v>73</v>
      </c>
      <c r="Q29" s="165" t="str">
        <f>$I$25</f>
        <v>Voda předaná</v>
      </c>
      <c r="R29" s="177" t="s">
        <v>73</v>
      </c>
      <c r="S29" s="187"/>
      <c r="T29" s="281"/>
      <c r="U29" s="203">
        <v>3</v>
      </c>
      <c r="V29" s="111" t="s">
        <v>25</v>
      </c>
      <c r="W29" s="79" t="s">
        <v>26</v>
      </c>
      <c r="X29" s="112" t="s">
        <v>24</v>
      </c>
      <c r="Y29" s="77">
        <f>F56*Z14*'nabidka dodavatele'!D23*Z9</f>
        <v>5.200000000000002</v>
      </c>
      <c r="Z29" s="15">
        <f t="shared" si="1"/>
        <v>0</v>
      </c>
      <c r="AA29" s="77">
        <f>I56*AB14*'nabidka dodavatele'!D61*AB9</f>
        <v>0.31839389790697659</v>
      </c>
      <c r="AB29" s="16">
        <f t="shared" si="2"/>
        <v>0</v>
      </c>
      <c r="AC29" s="198"/>
    </row>
    <row r="30" spans="2:29" ht="13.5" customHeight="1" x14ac:dyDescent="0.2">
      <c r="B30" s="183"/>
      <c r="C30" s="111" t="s">
        <v>27</v>
      </c>
      <c r="D30" s="79" t="s">
        <v>28</v>
      </c>
      <c r="E30" s="112" t="s">
        <v>24</v>
      </c>
      <c r="F30" s="236">
        <f>G30</f>
        <v>1.846152</v>
      </c>
      <c r="G30" s="77">
        <f>P26*P15*'nabidka dodavatele'!D23*P10</f>
        <v>1.846152</v>
      </c>
      <c r="H30" s="15">
        <f>F30-G30</f>
        <v>0</v>
      </c>
      <c r="I30" s="236">
        <f>J30</f>
        <v>0.12307679999999999</v>
      </c>
      <c r="J30" s="77">
        <f>R26*R15*'nabidka dodavatele'!D61*R10</f>
        <v>0.12307679999999999</v>
      </c>
      <c r="K30" s="16">
        <f t="shared" si="0"/>
        <v>0</v>
      </c>
      <c r="L30" s="221"/>
      <c r="M30" s="281"/>
      <c r="N30" s="193"/>
      <c r="O30" s="145" t="s">
        <v>239</v>
      </c>
      <c r="P30" s="241">
        <f>'vstupy zadavatele'!D11/1000</f>
        <v>18.824999999999999</v>
      </c>
      <c r="Q30" s="145" t="str">
        <f>O30</f>
        <v>Nájem infrastrukturního majetku</v>
      </c>
      <c r="R30" s="242">
        <f>'vstupy zadavatele'!D35/1000</f>
        <v>0.43</v>
      </c>
      <c r="S30" s="187"/>
      <c r="T30" s="281"/>
      <c r="U30" s="203">
        <v>4</v>
      </c>
      <c r="V30" s="111" t="s">
        <v>27</v>
      </c>
      <c r="W30" s="79" t="s">
        <v>28</v>
      </c>
      <c r="X30" s="112" t="s">
        <v>24</v>
      </c>
      <c r="Y30" s="77">
        <f>F56*Z15*'nabidka dodavatele'!D23*Z10</f>
        <v>1.846152</v>
      </c>
      <c r="Z30" s="15">
        <f t="shared" si="1"/>
        <v>0</v>
      </c>
      <c r="AA30" s="77">
        <f>I56*AB15*'nabidka dodavatele'!D61*AB10</f>
        <v>0.12307679999999999</v>
      </c>
      <c r="AB30" s="16">
        <f t="shared" si="2"/>
        <v>0</v>
      </c>
      <c r="AC30" s="198"/>
    </row>
    <row r="31" spans="2:29" ht="13.5" customHeight="1" x14ac:dyDescent="0.2">
      <c r="B31" s="183"/>
      <c r="C31" s="111" t="s">
        <v>29</v>
      </c>
      <c r="D31" s="79" t="s">
        <v>30</v>
      </c>
      <c r="E31" s="112" t="s">
        <v>24</v>
      </c>
      <c r="F31" s="236">
        <f>G31</f>
        <v>0.55000000000000004</v>
      </c>
      <c r="G31" s="77">
        <f>P26*P16*'nabidka dodavatele'!D23</f>
        <v>0.55000000000000004</v>
      </c>
      <c r="H31" s="15">
        <f t="shared" si="3"/>
        <v>0</v>
      </c>
      <c r="I31" s="236">
        <f t="shared" ref="I31:I32" si="4">J31</f>
        <v>2.4515559209302328E-2</v>
      </c>
      <c r="J31" s="77">
        <f>R26*R16*'nabidka dodavatele'!D61</f>
        <v>2.4515559209302328E-2</v>
      </c>
      <c r="K31" s="16">
        <f t="shared" si="0"/>
        <v>0</v>
      </c>
      <c r="L31" s="221"/>
      <c r="M31" s="281"/>
      <c r="N31" s="193"/>
      <c r="O31" s="145" t="s">
        <v>294</v>
      </c>
      <c r="P31" s="336">
        <v>0</v>
      </c>
      <c r="Q31" s="145" t="str">
        <f>O31</f>
        <v>Navýšení nájemného</v>
      </c>
      <c r="R31" s="337">
        <f>'vstupy zadavatele'!D36/1000</f>
        <v>0</v>
      </c>
      <c r="S31" s="187"/>
      <c r="T31" s="281"/>
      <c r="U31" s="203">
        <v>5</v>
      </c>
      <c r="V31" s="111" t="s">
        <v>29</v>
      </c>
      <c r="W31" s="79" t="s">
        <v>30</v>
      </c>
      <c r="X31" s="112" t="s">
        <v>24</v>
      </c>
      <c r="Y31" s="77">
        <f>F56*Z16*'nabidka dodavatele'!D23</f>
        <v>0.55000000000000004</v>
      </c>
      <c r="Z31" s="15">
        <f t="shared" si="1"/>
        <v>0</v>
      </c>
      <c r="AA31" s="77">
        <f>I56*AB16*'nabidka dodavatele'!D61</f>
        <v>2.4515559209302328E-2</v>
      </c>
      <c r="AB31" s="16">
        <f t="shared" si="2"/>
        <v>0</v>
      </c>
      <c r="AC31" s="204"/>
    </row>
    <row r="32" spans="2:29" ht="13.5" customHeight="1" x14ac:dyDescent="0.2">
      <c r="B32" s="183"/>
      <c r="C32" s="111" t="s">
        <v>31</v>
      </c>
      <c r="D32" s="79" t="s">
        <v>32</v>
      </c>
      <c r="E32" s="112" t="s">
        <v>24</v>
      </c>
      <c r="F32" s="236">
        <f t="shared" ref="F32" si="5">G32</f>
        <v>2.4E-2</v>
      </c>
      <c r="G32" s="77">
        <f>'nabidka dodavatele'!D6/1000*R37</f>
        <v>2.4E-2</v>
      </c>
      <c r="H32" s="15">
        <f t="shared" si="3"/>
        <v>0</v>
      </c>
      <c r="I32" s="236">
        <f t="shared" si="4"/>
        <v>1.2E-2</v>
      </c>
      <c r="J32" s="77">
        <f>'nabidka dodavatele'!D44/1000*R37</f>
        <v>1.2E-2</v>
      </c>
      <c r="K32" s="16">
        <f t="shared" si="0"/>
        <v>0</v>
      </c>
      <c r="L32" s="221"/>
      <c r="M32" s="281"/>
      <c r="N32" s="194"/>
      <c r="O32" s="172"/>
      <c r="P32" s="172"/>
      <c r="Q32" s="172"/>
      <c r="R32" s="172"/>
      <c r="S32" s="191"/>
      <c r="T32" s="281"/>
      <c r="U32" s="203">
        <v>6</v>
      </c>
      <c r="V32" s="111" t="s">
        <v>31</v>
      </c>
      <c r="W32" s="79" t="s">
        <v>32</v>
      </c>
      <c r="X32" s="112" t="s">
        <v>24</v>
      </c>
      <c r="Y32" s="77">
        <f>G32</f>
        <v>2.4E-2</v>
      </c>
      <c r="Z32" s="15">
        <f t="shared" si="1"/>
        <v>0</v>
      </c>
      <c r="AA32" s="77">
        <f>J32</f>
        <v>1.2E-2</v>
      </c>
      <c r="AB32" s="16">
        <f t="shared" si="2"/>
        <v>0</v>
      </c>
      <c r="AC32" s="198"/>
    </row>
    <row r="33" spans="2:29" ht="13.5" customHeight="1" x14ac:dyDescent="0.2">
      <c r="B33" s="183"/>
      <c r="C33" s="12" t="s">
        <v>33</v>
      </c>
      <c r="D33" s="13" t="s">
        <v>34</v>
      </c>
      <c r="E33" s="14" t="s">
        <v>24</v>
      </c>
      <c r="F33" s="15">
        <f>SUM(F34:F35)</f>
        <v>5.2034400000000005</v>
      </c>
      <c r="G33" s="15">
        <f>SUM(G34:G35)</f>
        <v>5.2034400000000005</v>
      </c>
      <c r="H33" s="15">
        <f t="shared" si="3"/>
        <v>0</v>
      </c>
      <c r="I33" s="15">
        <f>SUM(I34:I35)</f>
        <v>0.25185600000000002</v>
      </c>
      <c r="J33" s="15">
        <f>SUM(J34:J35)</f>
        <v>0.25185600000000002</v>
      </c>
      <c r="K33" s="16">
        <f t="shared" si="0"/>
        <v>0</v>
      </c>
      <c r="L33" s="221"/>
      <c r="M33" s="281"/>
      <c r="N33" s="194"/>
      <c r="O33" s="371" t="s">
        <v>245</v>
      </c>
      <c r="P33" s="372"/>
      <c r="Q33" s="373"/>
      <c r="R33" s="305">
        <v>2016</v>
      </c>
      <c r="S33" s="187"/>
      <c r="T33" s="281"/>
      <c r="U33" s="203">
        <v>7</v>
      </c>
      <c r="V33" s="12" t="s">
        <v>33</v>
      </c>
      <c r="W33" s="13" t="s">
        <v>34</v>
      </c>
      <c r="X33" s="14" t="s">
        <v>24</v>
      </c>
      <c r="Y33" s="15">
        <f>SUM(Y34:Y35)</f>
        <v>5.2034400000000005</v>
      </c>
      <c r="Z33" s="15">
        <f t="shared" si="1"/>
        <v>0</v>
      </c>
      <c r="AA33" s="15">
        <f>SUM(AA34:AA35)</f>
        <v>0.25185600000000002</v>
      </c>
      <c r="AB33" s="16">
        <f t="shared" si="2"/>
        <v>0</v>
      </c>
      <c r="AC33" s="198"/>
    </row>
    <row r="34" spans="2:29" ht="13.5" customHeight="1" x14ac:dyDescent="0.2">
      <c r="B34" s="183"/>
      <c r="C34" s="111" t="s">
        <v>35</v>
      </c>
      <c r="D34" s="79" t="s">
        <v>36</v>
      </c>
      <c r="E34" s="112" t="s">
        <v>24</v>
      </c>
      <c r="F34" s="236">
        <f>G34</f>
        <v>5.2034400000000005</v>
      </c>
      <c r="G34" s="77">
        <f>P26*'nabidka dodavatele'!D23*'nabidka dodavatele'!D19*R41+P26*'nabidka dodavatele'!D23*P20*R41</f>
        <v>5.2034400000000005</v>
      </c>
      <c r="H34" s="15">
        <f t="shared" si="3"/>
        <v>0</v>
      </c>
      <c r="I34" s="236">
        <f t="shared" ref="I34:I35" si="6">J34</f>
        <v>0.25185600000000002</v>
      </c>
      <c r="J34" s="77">
        <f>R26*'nabidka dodavatele'!D61*'nabidka dodavatele'!D57*R41+R26*'nabidka dodavatele'!D61*R20*R41</f>
        <v>0.25185600000000002</v>
      </c>
      <c r="K34" s="16">
        <f t="shared" si="0"/>
        <v>0</v>
      </c>
      <c r="L34" s="221"/>
      <c r="M34" s="281"/>
      <c r="N34" s="194"/>
      <c r="O34" s="173"/>
      <c r="P34" s="173"/>
      <c r="Q34" s="173"/>
      <c r="R34" s="173"/>
      <c r="S34" s="187"/>
      <c r="T34" s="281"/>
      <c r="U34" s="203">
        <v>8</v>
      </c>
      <c r="V34" s="111" t="s">
        <v>35</v>
      </c>
      <c r="W34" s="79" t="s">
        <v>36</v>
      </c>
      <c r="X34" s="112" t="s">
        <v>24</v>
      </c>
      <c r="Y34" s="77">
        <f>F56*'nabidka dodavatele'!D19*'nabidka dodavatele'!D23*R41+F56*Z20*'nabidka dodavatele'!D23*R41</f>
        <v>5.2034400000000005</v>
      </c>
      <c r="Z34" s="15">
        <f t="shared" si="1"/>
        <v>0</v>
      </c>
      <c r="AA34" s="77">
        <f>I56*'nabidka dodavatele'!D57*'nabidka dodavatele'!D61*R41+I56*AB20*'nabidka dodavatele'!D61*R41</f>
        <v>0.25185600000000002</v>
      </c>
      <c r="AB34" s="16">
        <f t="shared" si="2"/>
        <v>0</v>
      </c>
      <c r="AC34" s="198"/>
    </row>
    <row r="35" spans="2:29" ht="13.5" customHeight="1" x14ac:dyDescent="0.2">
      <c r="B35" s="183"/>
      <c r="C35" s="111" t="s">
        <v>37</v>
      </c>
      <c r="D35" s="79" t="s">
        <v>38</v>
      </c>
      <c r="E35" s="112" t="s">
        <v>24</v>
      </c>
      <c r="F35" s="236">
        <f t="shared" ref="F35" si="7">G35</f>
        <v>0</v>
      </c>
      <c r="G35" s="77">
        <f>'nabidka dodavatele'!D7/1000*R38</f>
        <v>0</v>
      </c>
      <c r="H35" s="15">
        <f t="shared" si="3"/>
        <v>0</v>
      </c>
      <c r="I35" s="236">
        <f t="shared" si="6"/>
        <v>0</v>
      </c>
      <c r="J35" s="77">
        <f>'nabidka dodavatele'!D45/1000*R38</f>
        <v>0</v>
      </c>
      <c r="K35" s="16">
        <f t="shared" si="0"/>
        <v>0</v>
      </c>
      <c r="L35" s="221"/>
      <c r="M35" s="281"/>
      <c r="N35" s="251"/>
      <c r="O35" s="362" t="s">
        <v>285</v>
      </c>
      <c r="P35" s="363"/>
      <c r="Q35" s="363"/>
      <c r="R35" s="364"/>
      <c r="S35" s="220"/>
      <c r="T35" s="281"/>
      <c r="U35" s="203">
        <v>9</v>
      </c>
      <c r="V35" s="111" t="s">
        <v>37</v>
      </c>
      <c r="W35" s="79" t="s">
        <v>38</v>
      </c>
      <c r="X35" s="112" t="s">
        <v>24</v>
      </c>
      <c r="Y35" s="77">
        <f>G35</f>
        <v>0</v>
      </c>
      <c r="Z35" s="15">
        <f t="shared" si="1"/>
        <v>0</v>
      </c>
      <c r="AA35" s="77">
        <f>J35</f>
        <v>0</v>
      </c>
      <c r="AB35" s="16">
        <f t="shared" si="2"/>
        <v>0</v>
      </c>
      <c r="AC35" s="198"/>
    </row>
    <row r="36" spans="2:29" ht="13.5" customHeight="1" x14ac:dyDescent="0.2">
      <c r="B36" s="183"/>
      <c r="C36" s="12" t="s">
        <v>39</v>
      </c>
      <c r="D36" s="13" t="s">
        <v>40</v>
      </c>
      <c r="E36" s="14" t="s">
        <v>24</v>
      </c>
      <c r="F36" s="15">
        <f>SUM(F37:F38)</f>
        <v>3.1949999999999998</v>
      </c>
      <c r="G36" s="15">
        <f>SUM(G37:G38)</f>
        <v>3.1949999999999998</v>
      </c>
      <c r="H36" s="15">
        <f t="shared" si="3"/>
        <v>0</v>
      </c>
      <c r="I36" s="15">
        <f>SUM(I37:I38)</f>
        <v>0.183</v>
      </c>
      <c r="J36" s="15">
        <f>SUM(J37:J38)</f>
        <v>0.183</v>
      </c>
      <c r="K36" s="16">
        <f t="shared" si="0"/>
        <v>0</v>
      </c>
      <c r="L36" s="221"/>
      <c r="M36" s="281"/>
      <c r="N36" s="252"/>
      <c r="O36" s="338" t="s">
        <v>254</v>
      </c>
      <c r="P36" s="245"/>
      <c r="Q36" s="246"/>
      <c r="R36" s="242">
        <v>1</v>
      </c>
      <c r="S36" s="221"/>
      <c r="T36" s="281"/>
      <c r="U36" s="203">
        <v>10</v>
      </c>
      <c r="V36" s="12" t="s">
        <v>39</v>
      </c>
      <c r="W36" s="13" t="s">
        <v>40</v>
      </c>
      <c r="X36" s="14" t="s">
        <v>24</v>
      </c>
      <c r="Y36" s="15">
        <f>SUM(Y37:Y38)</f>
        <v>3.1949999999999998</v>
      </c>
      <c r="Z36" s="15">
        <f t="shared" si="1"/>
        <v>0</v>
      </c>
      <c r="AA36" s="15">
        <f>SUM(AA37:AA38)</f>
        <v>0.183</v>
      </c>
      <c r="AB36" s="16">
        <f t="shared" si="2"/>
        <v>0</v>
      </c>
      <c r="AC36" s="198"/>
    </row>
    <row r="37" spans="2:29" ht="13.5" customHeight="1" x14ac:dyDescent="0.2">
      <c r="B37" s="183"/>
      <c r="C37" s="111" t="s">
        <v>41</v>
      </c>
      <c r="D37" s="79" t="s">
        <v>42</v>
      </c>
      <c r="E37" s="112" t="s">
        <v>24</v>
      </c>
      <c r="F37" s="236">
        <f t="shared" ref="F37:F38" si="8">G37</f>
        <v>2.2709999999999999</v>
      </c>
      <c r="G37" s="77">
        <f>'nabidka dodavatele'!D8/1000*R39</f>
        <v>2.2709999999999999</v>
      </c>
      <c r="H37" s="15">
        <f t="shared" si="3"/>
        <v>0</v>
      </c>
      <c r="I37" s="236">
        <f t="shared" ref="I37:I38" si="9">J37</f>
        <v>0.125</v>
      </c>
      <c r="J37" s="77">
        <f>'nabidka dodavatele'!D46/1000*R39</f>
        <v>0.125</v>
      </c>
      <c r="K37" s="16">
        <f t="shared" si="0"/>
        <v>0</v>
      </c>
      <c r="L37" s="221"/>
      <c r="M37" s="281"/>
      <c r="N37" s="252"/>
      <c r="O37" s="338" t="s">
        <v>256</v>
      </c>
      <c r="P37" s="247"/>
      <c r="Q37" s="248"/>
      <c r="R37" s="242">
        <v>1</v>
      </c>
      <c r="S37" s="221"/>
      <c r="T37" s="281"/>
      <c r="U37" s="203">
        <v>11</v>
      </c>
      <c r="V37" s="111" t="s">
        <v>41</v>
      </c>
      <c r="W37" s="79" t="s">
        <v>42</v>
      </c>
      <c r="X37" s="112" t="s">
        <v>24</v>
      </c>
      <c r="Y37" s="77">
        <f>G37</f>
        <v>2.2709999999999999</v>
      </c>
      <c r="Z37" s="15">
        <f t="shared" si="1"/>
        <v>0</v>
      </c>
      <c r="AA37" s="77">
        <f>J37</f>
        <v>0.125</v>
      </c>
      <c r="AB37" s="16">
        <f t="shared" si="2"/>
        <v>0</v>
      </c>
      <c r="AC37" s="198"/>
    </row>
    <row r="38" spans="2:29" ht="13.5" customHeight="1" x14ac:dyDescent="0.2">
      <c r="B38" s="183"/>
      <c r="C38" s="111" t="s">
        <v>43</v>
      </c>
      <c r="D38" s="79" t="s">
        <v>44</v>
      </c>
      <c r="E38" s="112" t="s">
        <v>24</v>
      </c>
      <c r="F38" s="236">
        <f t="shared" si="8"/>
        <v>0.92400000000000004</v>
      </c>
      <c r="G38" s="77">
        <f>'nabidka dodavatele'!D9/1000*R39</f>
        <v>0.92400000000000004</v>
      </c>
      <c r="H38" s="15">
        <f t="shared" si="3"/>
        <v>0</v>
      </c>
      <c r="I38" s="236">
        <f t="shared" si="9"/>
        <v>5.8000000000000003E-2</v>
      </c>
      <c r="J38" s="77">
        <f>'nabidka dodavatele'!D47/1000*R39</f>
        <v>5.8000000000000003E-2</v>
      </c>
      <c r="K38" s="16">
        <f t="shared" si="0"/>
        <v>0</v>
      </c>
      <c r="L38" s="221"/>
      <c r="M38" s="281"/>
      <c r="N38" s="252"/>
      <c r="O38" s="338" t="s">
        <v>257</v>
      </c>
      <c r="P38" s="247"/>
      <c r="Q38" s="248"/>
      <c r="R38" s="242">
        <v>1</v>
      </c>
      <c r="S38" s="221"/>
      <c r="T38" s="281"/>
      <c r="U38" s="203">
        <v>12</v>
      </c>
      <c r="V38" s="111" t="s">
        <v>43</v>
      </c>
      <c r="W38" s="79" t="s">
        <v>44</v>
      </c>
      <c r="X38" s="112" t="s">
        <v>24</v>
      </c>
      <c r="Y38" s="77">
        <f>G38</f>
        <v>0.92400000000000004</v>
      </c>
      <c r="Z38" s="15">
        <f t="shared" si="1"/>
        <v>0</v>
      </c>
      <c r="AA38" s="77">
        <f>J38</f>
        <v>5.8000000000000003E-2</v>
      </c>
      <c r="AB38" s="16">
        <f t="shared" si="2"/>
        <v>0</v>
      </c>
      <c r="AC38" s="198"/>
    </row>
    <row r="39" spans="2:29" ht="13.5" customHeight="1" x14ac:dyDescent="0.2">
      <c r="B39" s="183"/>
      <c r="C39" s="12" t="s">
        <v>45</v>
      </c>
      <c r="D39" s="13" t="s">
        <v>46</v>
      </c>
      <c r="E39" s="14" t="s">
        <v>24</v>
      </c>
      <c r="F39" s="15">
        <f>SUM(F40:F43)</f>
        <v>28.774999999999999</v>
      </c>
      <c r="G39" s="15">
        <f>SUM(G40:G43)</f>
        <v>28.774999999999999</v>
      </c>
      <c r="H39" s="15">
        <f t="shared" si="3"/>
        <v>0</v>
      </c>
      <c r="I39" s="15">
        <f t="shared" ref="I39:J39" si="10">SUM(I40:I43)</f>
        <v>0.61899999999999999</v>
      </c>
      <c r="J39" s="15">
        <f t="shared" si="10"/>
        <v>0.61899999999999999</v>
      </c>
      <c r="K39" s="16">
        <f t="shared" si="0"/>
        <v>0</v>
      </c>
      <c r="L39" s="221"/>
      <c r="M39" s="281"/>
      <c r="N39" s="252"/>
      <c r="O39" s="338" t="s">
        <v>284</v>
      </c>
      <c r="P39" s="247"/>
      <c r="Q39" s="248"/>
      <c r="R39" s="242">
        <v>1</v>
      </c>
      <c r="S39" s="221"/>
      <c r="T39" s="281"/>
      <c r="U39" s="203">
        <v>13</v>
      </c>
      <c r="V39" s="12" t="s">
        <v>45</v>
      </c>
      <c r="W39" s="13" t="s">
        <v>46</v>
      </c>
      <c r="X39" s="14" t="s">
        <v>24</v>
      </c>
      <c r="Y39" s="15">
        <f>SUM(Y40:Y43)</f>
        <v>28.775000000000002</v>
      </c>
      <c r="Z39" s="15">
        <f t="shared" si="1"/>
        <v>0</v>
      </c>
      <c r="AA39" s="15">
        <f>SUM(AA40:AA43)</f>
        <v>0.61899999999999977</v>
      </c>
      <c r="AB39" s="16">
        <f t="shared" si="2"/>
        <v>0</v>
      </c>
      <c r="AC39" s="198"/>
    </row>
    <row r="40" spans="2:29" ht="13.5" customHeight="1" x14ac:dyDescent="0.2">
      <c r="B40" s="183"/>
      <c r="C40" s="111" t="s">
        <v>47</v>
      </c>
      <c r="D40" s="111" t="s">
        <v>262</v>
      </c>
      <c r="E40" s="112" t="s">
        <v>24</v>
      </c>
      <c r="F40" s="236"/>
      <c r="G40" s="77"/>
      <c r="H40" s="15">
        <f t="shared" si="3"/>
        <v>0</v>
      </c>
      <c r="I40" s="236"/>
      <c r="J40" s="77"/>
      <c r="K40" s="16">
        <f t="shared" si="0"/>
        <v>0</v>
      </c>
      <c r="L40" s="221"/>
      <c r="M40" s="281"/>
      <c r="N40" s="252"/>
      <c r="O40" s="338" t="s">
        <v>255</v>
      </c>
      <c r="P40" s="247"/>
      <c r="Q40" s="248"/>
      <c r="R40" s="242">
        <v>1</v>
      </c>
      <c r="S40" s="221"/>
      <c r="T40" s="281"/>
      <c r="U40" s="203">
        <v>14</v>
      </c>
      <c r="V40" s="111" t="s">
        <v>47</v>
      </c>
      <c r="W40" s="111" t="s">
        <v>262</v>
      </c>
      <c r="X40" s="112" t="s">
        <v>24</v>
      </c>
      <c r="Y40" s="77"/>
      <c r="Z40" s="15">
        <f t="shared" si="1"/>
        <v>0</v>
      </c>
      <c r="AA40" s="77"/>
      <c r="AB40" s="16">
        <f t="shared" si="2"/>
        <v>0</v>
      </c>
      <c r="AC40" s="198"/>
    </row>
    <row r="41" spans="2:29" ht="13.5" customHeight="1" x14ac:dyDescent="0.2">
      <c r="B41" s="183"/>
      <c r="C41" s="111" t="s">
        <v>48</v>
      </c>
      <c r="D41" s="79" t="s">
        <v>49</v>
      </c>
      <c r="E41" s="112" t="s">
        <v>24</v>
      </c>
      <c r="F41" s="236">
        <f t="shared" ref="F41:F51" si="11">G41</f>
        <v>9.9499999999999993</v>
      </c>
      <c r="G41" s="77">
        <f>'nabidka dodavatele'!D10/1000*R40</f>
        <v>9.9499999999999993</v>
      </c>
      <c r="H41" s="15">
        <f t="shared" si="3"/>
        <v>0</v>
      </c>
      <c r="I41" s="236">
        <f t="shared" ref="I41" si="12">J41</f>
        <v>0.189</v>
      </c>
      <c r="J41" s="77">
        <f>'nabidka dodavatele'!D48/1000*R40</f>
        <v>0.189</v>
      </c>
      <c r="K41" s="16">
        <f t="shared" si="0"/>
        <v>0</v>
      </c>
      <c r="L41" s="221"/>
      <c r="M41" s="281"/>
      <c r="N41" s="252"/>
      <c r="O41" s="338" t="s">
        <v>258</v>
      </c>
      <c r="P41" s="249"/>
      <c r="Q41" s="250"/>
      <c r="R41" s="242">
        <v>1</v>
      </c>
      <c r="S41" s="221"/>
      <c r="T41" s="281"/>
      <c r="U41" s="203">
        <v>15</v>
      </c>
      <c r="V41" s="111" t="s">
        <v>48</v>
      </c>
      <c r="W41" s="79" t="s">
        <v>49</v>
      </c>
      <c r="X41" s="112" t="s">
        <v>24</v>
      </c>
      <c r="Y41" s="77">
        <f>G41</f>
        <v>9.9499999999999993</v>
      </c>
      <c r="Z41" s="15">
        <f t="shared" si="1"/>
        <v>0</v>
      </c>
      <c r="AA41" s="77">
        <f>J41</f>
        <v>0.189</v>
      </c>
      <c r="AB41" s="16">
        <f t="shared" si="2"/>
        <v>0</v>
      </c>
      <c r="AC41" s="198"/>
    </row>
    <row r="42" spans="2:29" ht="13.5" customHeight="1" x14ac:dyDescent="0.2">
      <c r="B42" s="183"/>
      <c r="C42" s="111" t="s">
        <v>50</v>
      </c>
      <c r="D42" s="79" t="s">
        <v>51</v>
      </c>
      <c r="E42" s="112" t="s">
        <v>24</v>
      </c>
      <c r="F42" s="236">
        <f>G42</f>
        <v>18.824999999999999</v>
      </c>
      <c r="G42" s="77">
        <f>P30+P31</f>
        <v>18.824999999999999</v>
      </c>
      <c r="H42" s="15">
        <f t="shared" si="3"/>
        <v>0</v>
      </c>
      <c r="I42" s="236">
        <f>J42</f>
        <v>0.43</v>
      </c>
      <c r="J42" s="77">
        <f>R30+R31</f>
        <v>0.43</v>
      </c>
      <c r="K42" s="16">
        <f t="shared" si="0"/>
        <v>0</v>
      </c>
      <c r="L42" s="221"/>
      <c r="M42" s="281"/>
      <c r="N42" s="252"/>
      <c r="O42" s="1"/>
      <c r="P42" s="1"/>
      <c r="Q42" s="1"/>
      <c r="R42" s="1"/>
      <c r="S42" s="221"/>
      <c r="T42" s="281"/>
      <c r="U42" s="203">
        <v>16</v>
      </c>
      <c r="V42" s="111" t="s">
        <v>50</v>
      </c>
      <c r="W42" s="79" t="s">
        <v>51</v>
      </c>
      <c r="X42" s="112" t="s">
        <v>24</v>
      </c>
      <c r="Y42" s="77">
        <v>18.825000000000003</v>
      </c>
      <c r="Z42" s="15">
        <f t="shared" si="1"/>
        <v>0</v>
      </c>
      <c r="AA42" s="77">
        <v>0.42999999999999972</v>
      </c>
      <c r="AB42" s="16">
        <f t="shared" si="2"/>
        <v>0</v>
      </c>
      <c r="AC42" s="198"/>
    </row>
    <row r="43" spans="2:29" ht="13.5" customHeight="1" x14ac:dyDescent="0.2">
      <c r="B43" s="183"/>
      <c r="C43" s="111" t="s">
        <v>52</v>
      </c>
      <c r="D43" s="111" t="s">
        <v>263</v>
      </c>
      <c r="E43" s="112" t="s">
        <v>24</v>
      </c>
      <c r="F43" s="236"/>
      <c r="G43" s="77"/>
      <c r="H43" s="15">
        <f t="shared" ref="H43" si="13">F43-G43</f>
        <v>0</v>
      </c>
      <c r="I43" s="236"/>
      <c r="J43" s="77"/>
      <c r="K43" s="16">
        <f t="shared" si="0"/>
        <v>0</v>
      </c>
      <c r="L43" s="221"/>
      <c r="M43" s="281"/>
      <c r="N43" s="252"/>
      <c r="O43" s="259" t="s">
        <v>260</v>
      </c>
      <c r="P43" s="306"/>
      <c r="Q43" s="307"/>
      <c r="R43" s="308">
        <v>0.15</v>
      </c>
      <c r="S43" s="221"/>
      <c r="T43" s="281"/>
      <c r="U43" s="203"/>
      <c r="V43" s="111" t="s">
        <v>52</v>
      </c>
      <c r="W43" s="111" t="s">
        <v>263</v>
      </c>
      <c r="X43" s="112" t="s">
        <v>24</v>
      </c>
      <c r="Y43" s="77"/>
      <c r="Z43" s="15">
        <f t="shared" si="1"/>
        <v>0</v>
      </c>
      <c r="AA43" s="77"/>
      <c r="AB43" s="16">
        <f t="shared" si="2"/>
        <v>0</v>
      </c>
      <c r="AC43" s="198"/>
    </row>
    <row r="44" spans="2:29" ht="13.5" customHeight="1" x14ac:dyDescent="0.2">
      <c r="B44" s="183"/>
      <c r="C44" s="12" t="s">
        <v>56</v>
      </c>
      <c r="D44" s="13" t="s">
        <v>264</v>
      </c>
      <c r="E44" s="14" t="s">
        <v>24</v>
      </c>
      <c r="F44" s="15">
        <f>SUM(F45:F47)</f>
        <v>3.5659999999999998</v>
      </c>
      <c r="G44" s="15">
        <f>SUM(G45:G47)</f>
        <v>3.5659999999999998</v>
      </c>
      <c r="H44" s="15">
        <f t="shared" si="3"/>
        <v>0</v>
      </c>
      <c r="I44" s="15">
        <f t="shared" ref="I44:J44" si="14">SUM(I45:I47)</f>
        <v>0.14200000000000002</v>
      </c>
      <c r="J44" s="15">
        <f t="shared" si="14"/>
        <v>0.14200000000000002</v>
      </c>
      <c r="K44" s="16">
        <f t="shared" si="0"/>
        <v>0</v>
      </c>
      <c r="L44" s="221"/>
      <c r="M44" s="281"/>
      <c r="N44" s="252"/>
      <c r="O44" s="202"/>
      <c r="P44" s="202"/>
      <c r="Q44" s="202"/>
      <c r="R44" s="326"/>
      <c r="S44" s="221"/>
      <c r="T44" s="281"/>
      <c r="U44" s="203"/>
      <c r="V44" s="12" t="s">
        <v>56</v>
      </c>
      <c r="W44" s="13" t="s">
        <v>264</v>
      </c>
      <c r="X44" s="14" t="s">
        <v>24</v>
      </c>
      <c r="Y44" s="15">
        <f>SUM(Y45:Y47)</f>
        <v>3.5659999999999998</v>
      </c>
      <c r="Z44" s="15">
        <f t="shared" si="1"/>
        <v>0</v>
      </c>
      <c r="AA44" s="15">
        <f>SUM(AA45:AA47)</f>
        <v>0.14200000000000002</v>
      </c>
      <c r="AB44" s="16">
        <f t="shared" si="2"/>
        <v>0</v>
      </c>
      <c r="AC44" s="198"/>
    </row>
    <row r="45" spans="2:29" ht="13.5" customHeight="1" thickBot="1" x14ac:dyDescent="0.25">
      <c r="B45" s="183"/>
      <c r="C45" s="111" t="s">
        <v>265</v>
      </c>
      <c r="D45" s="79" t="s">
        <v>53</v>
      </c>
      <c r="E45" s="112" t="s">
        <v>24</v>
      </c>
      <c r="F45" s="236">
        <f>G45</f>
        <v>0</v>
      </c>
      <c r="G45" s="77">
        <f>'nabidka dodavatele'!D11/1000</f>
        <v>0</v>
      </c>
      <c r="H45" s="15">
        <f t="shared" si="3"/>
        <v>0</v>
      </c>
      <c r="I45" s="236">
        <f>J45</f>
        <v>0</v>
      </c>
      <c r="J45" s="77">
        <f>'nabidka dodavatele'!D49/1000</f>
        <v>0</v>
      </c>
      <c r="K45" s="16">
        <f t="shared" si="0"/>
        <v>0</v>
      </c>
      <c r="L45" s="221"/>
      <c r="M45" s="281"/>
      <c r="N45" s="253"/>
      <c r="O45" s="254"/>
      <c r="P45" s="254"/>
      <c r="Q45" s="254"/>
      <c r="R45" s="254"/>
      <c r="S45" s="255"/>
      <c r="T45" s="281"/>
      <c r="U45" s="203">
        <v>17</v>
      </c>
      <c r="V45" s="111" t="s">
        <v>265</v>
      </c>
      <c r="W45" s="79" t="s">
        <v>53</v>
      </c>
      <c r="X45" s="112" t="s">
        <v>24</v>
      </c>
      <c r="Y45" s="77"/>
      <c r="Z45" s="15">
        <f t="shared" si="1"/>
        <v>0</v>
      </c>
      <c r="AA45" s="77">
        <f>J45</f>
        <v>0</v>
      </c>
      <c r="AB45" s="16">
        <f t="shared" si="2"/>
        <v>0</v>
      </c>
      <c r="AC45" s="198"/>
    </row>
    <row r="46" spans="2:29" ht="13.5" customHeight="1" x14ac:dyDescent="0.2">
      <c r="B46" s="183"/>
      <c r="C46" s="111" t="s">
        <v>266</v>
      </c>
      <c r="D46" s="79" t="s">
        <v>54</v>
      </c>
      <c r="E46" s="112" t="s">
        <v>24</v>
      </c>
      <c r="F46" s="236">
        <f>G46</f>
        <v>1.6240000000000001</v>
      </c>
      <c r="G46" s="77">
        <f>'nabidka dodavatele'!D12/1000*R37+P22</f>
        <v>1.6240000000000001</v>
      </c>
      <c r="H46" s="15">
        <f t="shared" si="3"/>
        <v>0</v>
      </c>
      <c r="I46" s="236">
        <f t="shared" ref="I46:I47" si="15">J46</f>
        <v>7.4999999999999997E-2</v>
      </c>
      <c r="J46" s="77">
        <f>'nabidka dodavatele'!D50/1000*R37+R22</f>
        <v>7.4999999999999997E-2</v>
      </c>
      <c r="K46" s="16">
        <f t="shared" si="0"/>
        <v>0</v>
      </c>
      <c r="L46" s="221"/>
      <c r="M46" s="281"/>
      <c r="T46" s="281"/>
      <c r="U46" s="203">
        <v>18</v>
      </c>
      <c r="V46" s="111" t="s">
        <v>266</v>
      </c>
      <c r="W46" s="79" t="s">
        <v>54</v>
      </c>
      <c r="X46" s="112" t="s">
        <v>24</v>
      </c>
      <c r="Y46" s="77">
        <f>'nabidka dodavatele'!D12/1000*R37+Z22</f>
        <v>1.6240000000000001</v>
      </c>
      <c r="Z46" s="15">
        <f t="shared" si="1"/>
        <v>0</v>
      </c>
      <c r="AA46" s="77">
        <f>'nabidka dodavatele'!D50/1000*R37+AB22</f>
        <v>7.4999999999999997E-2</v>
      </c>
      <c r="AB46" s="16">
        <f t="shared" si="2"/>
        <v>0</v>
      </c>
      <c r="AC46" s="198"/>
    </row>
    <row r="47" spans="2:29" ht="13.5" customHeight="1" thickBot="1" x14ac:dyDescent="0.25">
      <c r="B47" s="183"/>
      <c r="C47" s="111" t="s">
        <v>267</v>
      </c>
      <c r="D47" s="79" t="s">
        <v>55</v>
      </c>
      <c r="E47" s="112" t="s">
        <v>24</v>
      </c>
      <c r="F47" s="236">
        <f t="shared" si="11"/>
        <v>1.9419999999999999</v>
      </c>
      <c r="G47" s="77">
        <f>'nabidka dodavatele'!D13/1000*R37</f>
        <v>1.9419999999999999</v>
      </c>
      <c r="H47" s="15">
        <f t="shared" si="3"/>
        <v>0</v>
      </c>
      <c r="I47" s="236">
        <f t="shared" si="15"/>
        <v>6.7000000000000004E-2</v>
      </c>
      <c r="J47" s="77">
        <f>'nabidka dodavatele'!D51/1000*R37</f>
        <v>6.7000000000000004E-2</v>
      </c>
      <c r="K47" s="16">
        <f t="shared" si="0"/>
        <v>0</v>
      </c>
      <c r="L47" s="221"/>
      <c r="M47" s="282"/>
      <c r="T47" s="282"/>
      <c r="U47" s="203">
        <v>19</v>
      </c>
      <c r="V47" s="111" t="s">
        <v>267</v>
      </c>
      <c r="W47" s="79" t="s">
        <v>55</v>
      </c>
      <c r="X47" s="112" t="s">
        <v>24</v>
      </c>
      <c r="Y47" s="77">
        <f>G47</f>
        <v>1.9419999999999999</v>
      </c>
      <c r="Z47" s="15">
        <f t="shared" si="1"/>
        <v>0</v>
      </c>
      <c r="AA47" s="77">
        <f>J47</f>
        <v>6.7000000000000004E-2</v>
      </c>
      <c r="AB47" s="16">
        <f t="shared" si="2"/>
        <v>0</v>
      </c>
      <c r="AC47" s="198"/>
    </row>
    <row r="48" spans="2:29" ht="13.5" customHeight="1" x14ac:dyDescent="0.2">
      <c r="B48" s="183"/>
      <c r="C48" s="115" t="s">
        <v>58</v>
      </c>
      <c r="D48" s="113" t="s">
        <v>57</v>
      </c>
      <c r="E48" s="114" t="s">
        <v>24</v>
      </c>
      <c r="F48" s="236">
        <f>G48</f>
        <v>0.16600000000000001</v>
      </c>
      <c r="G48" s="77">
        <f>'nabidka dodavatele'!D14/1000</f>
        <v>0.16600000000000001</v>
      </c>
      <c r="H48" s="15">
        <f t="shared" si="3"/>
        <v>0</v>
      </c>
      <c r="I48" s="236">
        <f>J48</f>
        <v>0</v>
      </c>
      <c r="J48" s="77">
        <f>'nabidka dodavatele'!D52/1000</f>
        <v>0</v>
      </c>
      <c r="K48" s="16">
        <f t="shared" si="0"/>
        <v>0</v>
      </c>
      <c r="L48" s="221"/>
      <c r="M48" s="282"/>
      <c r="N48" s="260"/>
      <c r="O48" s="261"/>
      <c r="P48" s="261"/>
      <c r="Q48" s="261"/>
      <c r="R48" s="261"/>
      <c r="S48" s="262"/>
      <c r="T48" s="282"/>
      <c r="U48" s="203">
        <v>20</v>
      </c>
      <c r="V48" s="115" t="s">
        <v>58</v>
      </c>
      <c r="W48" s="113" t="s">
        <v>57</v>
      </c>
      <c r="X48" s="114" t="s">
        <v>24</v>
      </c>
      <c r="Y48" s="77">
        <f>G48</f>
        <v>0.16600000000000001</v>
      </c>
      <c r="Z48" s="15">
        <f t="shared" si="1"/>
        <v>0</v>
      </c>
      <c r="AA48" s="77">
        <f>J48</f>
        <v>0</v>
      </c>
      <c r="AB48" s="16">
        <f t="shared" si="2"/>
        <v>0</v>
      </c>
      <c r="AC48" s="198"/>
    </row>
    <row r="49" spans="2:29" ht="13.5" customHeight="1" x14ac:dyDescent="0.25">
      <c r="B49" s="183"/>
      <c r="C49" s="115" t="s">
        <v>60</v>
      </c>
      <c r="D49" s="113" t="s">
        <v>269</v>
      </c>
      <c r="E49" s="114" t="s">
        <v>24</v>
      </c>
      <c r="F49" s="236"/>
      <c r="G49" s="77"/>
      <c r="H49" s="15">
        <f t="shared" ref="H49" si="16">F49-G49</f>
        <v>0</v>
      </c>
      <c r="I49" s="236"/>
      <c r="J49" s="77"/>
      <c r="K49" s="16">
        <f t="shared" ref="K49" si="17">I49-J49</f>
        <v>0</v>
      </c>
      <c r="L49" s="221"/>
      <c r="M49" s="283"/>
      <c r="N49" s="252"/>
      <c r="O49" s="349" t="s">
        <v>246</v>
      </c>
      <c r="P49" s="349"/>
      <c r="Q49" s="349"/>
      <c r="R49" s="349"/>
      <c r="S49" s="221"/>
      <c r="T49" s="283"/>
      <c r="U49" s="203"/>
      <c r="V49" s="115" t="s">
        <v>60</v>
      </c>
      <c r="W49" s="113" t="s">
        <v>269</v>
      </c>
      <c r="X49" s="114" t="s">
        <v>24</v>
      </c>
      <c r="Y49" s="77"/>
      <c r="Z49" s="15">
        <f t="shared" si="1"/>
        <v>0</v>
      </c>
      <c r="AA49" s="77"/>
      <c r="AB49" s="16">
        <f t="shared" si="2"/>
        <v>0</v>
      </c>
      <c r="AC49" s="198"/>
    </row>
    <row r="50" spans="2:29" ht="13.5" customHeight="1" x14ac:dyDescent="0.25">
      <c r="B50" s="183"/>
      <c r="C50" s="115" t="s">
        <v>62</v>
      </c>
      <c r="D50" s="113" t="s">
        <v>59</v>
      </c>
      <c r="E50" s="114" t="s">
        <v>24</v>
      </c>
      <c r="F50" s="236">
        <f>G50</f>
        <v>1.161</v>
      </c>
      <c r="G50" s="77">
        <f>'nabidka dodavatele'!D15/1000*R37</f>
        <v>1.161</v>
      </c>
      <c r="H50" s="15">
        <f t="shared" si="3"/>
        <v>0</v>
      </c>
      <c r="I50" s="236">
        <f t="shared" ref="I50:I51" si="18">J50</f>
        <v>4.1000000000000002E-2</v>
      </c>
      <c r="J50" s="77">
        <f>'nabidka dodavatele'!D53/1000*R37</f>
        <v>4.1000000000000002E-2</v>
      </c>
      <c r="K50" s="16">
        <f t="shared" si="0"/>
        <v>0</v>
      </c>
      <c r="L50" s="221"/>
      <c r="M50" s="284"/>
      <c r="N50" s="252"/>
      <c r="O50" s="317"/>
      <c r="P50" s="317"/>
      <c r="Q50" s="317"/>
      <c r="R50" s="317"/>
      <c r="S50" s="221"/>
      <c r="T50" s="284"/>
      <c r="U50" s="203">
        <v>21</v>
      </c>
      <c r="V50" s="115" t="s">
        <v>62</v>
      </c>
      <c r="W50" s="113" t="s">
        <v>59</v>
      </c>
      <c r="X50" s="114" t="s">
        <v>24</v>
      </c>
      <c r="Y50" s="77">
        <f>G50</f>
        <v>1.161</v>
      </c>
      <c r="Z50" s="15">
        <f t="shared" si="1"/>
        <v>0</v>
      </c>
      <c r="AA50" s="77">
        <f>J50</f>
        <v>4.1000000000000002E-2</v>
      </c>
      <c r="AB50" s="16">
        <f t="shared" si="2"/>
        <v>0</v>
      </c>
      <c r="AC50" s="198"/>
    </row>
    <row r="51" spans="2:29" ht="13.5" customHeight="1" x14ac:dyDescent="0.2">
      <c r="B51" s="183"/>
      <c r="C51" s="115" t="s">
        <v>87</v>
      </c>
      <c r="D51" s="113" t="s">
        <v>61</v>
      </c>
      <c r="E51" s="114" t="s">
        <v>24</v>
      </c>
      <c r="F51" s="236">
        <f t="shared" si="11"/>
        <v>4.42</v>
      </c>
      <c r="G51" s="77">
        <f>'nabidka dodavatele'!D16/1000*R37</f>
        <v>4.42</v>
      </c>
      <c r="H51" s="15">
        <f t="shared" si="3"/>
        <v>0</v>
      </c>
      <c r="I51" s="236">
        <f t="shared" si="18"/>
        <v>0.125</v>
      </c>
      <c r="J51" s="77">
        <f>'nabidka dodavatele'!D54/1000*R37</f>
        <v>0.125</v>
      </c>
      <c r="K51" s="16">
        <f t="shared" si="0"/>
        <v>0</v>
      </c>
      <c r="L51" s="221"/>
      <c r="M51" s="284"/>
      <c r="N51" s="252"/>
      <c r="O51" s="318" t="s">
        <v>214</v>
      </c>
      <c r="P51" s="319"/>
      <c r="Q51" s="318" t="s">
        <v>247</v>
      </c>
      <c r="R51" s="319"/>
      <c r="S51" s="221"/>
      <c r="T51" s="284"/>
      <c r="U51" s="203">
        <v>23</v>
      </c>
      <c r="V51" s="115" t="s">
        <v>87</v>
      </c>
      <c r="W51" s="113" t="s">
        <v>61</v>
      </c>
      <c r="X51" s="114" t="s">
        <v>24</v>
      </c>
      <c r="Y51" s="77">
        <f>G51</f>
        <v>4.42</v>
      </c>
      <c r="Z51" s="15">
        <f t="shared" si="1"/>
        <v>0</v>
      </c>
      <c r="AA51" s="77">
        <f>J51</f>
        <v>0.125</v>
      </c>
      <c r="AB51" s="16">
        <f t="shared" si="2"/>
        <v>0</v>
      </c>
      <c r="AC51" s="198"/>
    </row>
    <row r="52" spans="2:29" ht="13.5" customHeight="1" x14ac:dyDescent="0.2">
      <c r="B52" s="183"/>
      <c r="C52" s="12" t="s">
        <v>92</v>
      </c>
      <c r="D52" s="13" t="s">
        <v>63</v>
      </c>
      <c r="E52" s="14" t="s">
        <v>24</v>
      </c>
      <c r="F52" s="15">
        <f>F28+F33+F36+F39+F44+F48+F50+F51</f>
        <v>54.106592000000006</v>
      </c>
      <c r="G52" s="15">
        <f>G28+G33+G36+G39+G44+G48+G50+G51</f>
        <v>54.106592000000006</v>
      </c>
      <c r="H52" s="15">
        <f t="shared" si="3"/>
        <v>0</v>
      </c>
      <c r="I52" s="15">
        <f>I28+I33+I36+I39+I44+I48+I50+I51</f>
        <v>1.8398422571162789</v>
      </c>
      <c r="J52" s="15">
        <f>J28+J33+J36+J39+J44+J48+J50+J51</f>
        <v>1.8398422571162789</v>
      </c>
      <c r="K52" s="16">
        <f t="shared" si="0"/>
        <v>0</v>
      </c>
      <c r="L52" s="221"/>
      <c r="M52" s="281"/>
      <c r="N52" s="252"/>
      <c r="O52" s="303" t="s">
        <v>254</v>
      </c>
      <c r="P52" s="304"/>
      <c r="Q52" s="320" t="s">
        <v>248</v>
      </c>
      <c r="R52" s="321"/>
      <c r="S52" s="221"/>
      <c r="T52" s="281"/>
      <c r="U52" s="205"/>
      <c r="V52" s="12" t="s">
        <v>92</v>
      </c>
      <c r="W52" s="13" t="s">
        <v>63</v>
      </c>
      <c r="X52" s="14" t="s">
        <v>24</v>
      </c>
      <c r="Y52" s="15">
        <f>Y28+Y33+Y36+Y39+Y44+Y48+Y50+Y51</f>
        <v>54.106592000000006</v>
      </c>
      <c r="Z52" s="15">
        <f t="shared" si="1"/>
        <v>0</v>
      </c>
      <c r="AA52" s="15">
        <f>AA28+AA33+AA36+AA39+AA44+AA48+AA50+AA51</f>
        <v>1.8398422571162785</v>
      </c>
      <c r="AB52" s="16">
        <f t="shared" si="2"/>
        <v>0</v>
      </c>
      <c r="AC52" s="198"/>
    </row>
    <row r="53" spans="2:29" ht="13.5" customHeight="1" x14ac:dyDescent="0.2">
      <c r="B53" s="183"/>
      <c r="C53" s="111" t="s">
        <v>64</v>
      </c>
      <c r="D53" s="79" t="s">
        <v>65</v>
      </c>
      <c r="E53" s="114" t="s">
        <v>24</v>
      </c>
      <c r="F53" s="237"/>
      <c r="G53" s="77"/>
      <c r="H53" s="15">
        <f t="shared" si="3"/>
        <v>0</v>
      </c>
      <c r="I53" s="237"/>
      <c r="J53" s="77"/>
      <c r="K53" s="16">
        <f t="shared" si="0"/>
        <v>0</v>
      </c>
      <c r="L53" s="222"/>
      <c r="M53" s="281"/>
      <c r="N53" s="263"/>
      <c r="O53" s="299" t="s">
        <v>184</v>
      </c>
      <c r="P53" s="300"/>
      <c r="Q53" s="315" t="s">
        <v>133</v>
      </c>
      <c r="R53" s="316"/>
      <c r="S53" s="222"/>
      <c r="T53" s="281"/>
      <c r="U53" s="201"/>
      <c r="V53" s="111" t="s">
        <v>64</v>
      </c>
      <c r="W53" s="79" t="s">
        <v>65</v>
      </c>
      <c r="X53" s="114" t="s">
        <v>24</v>
      </c>
      <c r="Y53" s="77"/>
      <c r="Z53" s="15">
        <f t="shared" si="1"/>
        <v>0</v>
      </c>
      <c r="AA53" s="77"/>
      <c r="AB53" s="16">
        <f t="shared" si="2"/>
        <v>0</v>
      </c>
      <c r="AC53" s="198"/>
    </row>
    <row r="54" spans="2:29" ht="13.5" customHeight="1" x14ac:dyDescent="0.2">
      <c r="B54" s="183"/>
      <c r="C54" s="111" t="s">
        <v>66</v>
      </c>
      <c r="D54" s="79" t="s">
        <v>67</v>
      </c>
      <c r="E54" s="114" t="s">
        <v>24</v>
      </c>
      <c r="F54" s="237"/>
      <c r="G54" s="77"/>
      <c r="H54" s="15">
        <f t="shared" si="3"/>
        <v>0</v>
      </c>
      <c r="I54" s="237"/>
      <c r="J54" s="77"/>
      <c r="K54" s="16">
        <f t="shared" si="0"/>
        <v>0</v>
      </c>
      <c r="L54" s="222"/>
      <c r="M54" s="281"/>
      <c r="N54" s="263"/>
      <c r="O54" s="299"/>
      <c r="P54" s="300"/>
      <c r="Q54" s="315" t="s">
        <v>139</v>
      </c>
      <c r="R54" s="316"/>
      <c r="S54" s="222"/>
      <c r="T54" s="281"/>
      <c r="U54" s="201"/>
      <c r="V54" s="111" t="s">
        <v>66</v>
      </c>
      <c r="W54" s="79" t="s">
        <v>67</v>
      </c>
      <c r="X54" s="114" t="s">
        <v>24</v>
      </c>
      <c r="Y54" s="77"/>
      <c r="Z54" s="15">
        <f t="shared" si="1"/>
        <v>0</v>
      </c>
      <c r="AA54" s="77"/>
      <c r="AB54" s="16">
        <f t="shared" si="2"/>
        <v>0</v>
      </c>
      <c r="AC54" s="198"/>
    </row>
    <row r="55" spans="2:29" ht="13.5" customHeight="1" x14ac:dyDescent="0.2">
      <c r="B55" s="183"/>
      <c r="C55" s="111" t="s">
        <v>68</v>
      </c>
      <c r="D55" s="79" t="s">
        <v>69</v>
      </c>
      <c r="E55" s="112" t="s">
        <v>70</v>
      </c>
      <c r="F55" s="238"/>
      <c r="G55" s="77"/>
      <c r="H55" s="15">
        <f t="shared" si="3"/>
        <v>0</v>
      </c>
      <c r="I55" s="238"/>
      <c r="J55" s="77"/>
      <c r="K55" s="16">
        <f t="shared" si="0"/>
        <v>0</v>
      </c>
      <c r="L55" s="223"/>
      <c r="M55" s="281"/>
      <c r="N55" s="264"/>
      <c r="O55" s="299"/>
      <c r="P55" s="300"/>
      <c r="Q55" s="315" t="s">
        <v>140</v>
      </c>
      <c r="R55" s="316"/>
      <c r="S55" s="223"/>
      <c r="T55" s="281"/>
      <c r="U55" s="201"/>
      <c r="V55" s="111" t="s">
        <v>68</v>
      </c>
      <c r="W55" s="79" t="s">
        <v>69</v>
      </c>
      <c r="X55" s="112" t="s">
        <v>70</v>
      </c>
      <c r="Y55" s="77"/>
      <c r="Z55" s="15">
        <f t="shared" si="1"/>
        <v>0</v>
      </c>
      <c r="AA55" s="77"/>
      <c r="AB55" s="16">
        <f t="shared" si="2"/>
        <v>0</v>
      </c>
      <c r="AC55" s="198"/>
    </row>
    <row r="56" spans="2:29" ht="13.5" customHeight="1" x14ac:dyDescent="0.2">
      <c r="B56" s="183"/>
      <c r="C56" s="111" t="s">
        <v>71</v>
      </c>
      <c r="D56" s="79" t="s">
        <v>72</v>
      </c>
      <c r="E56" s="112" t="s">
        <v>73</v>
      </c>
      <c r="F56" s="236">
        <v>1.8</v>
      </c>
      <c r="G56" s="77">
        <f>P26</f>
        <v>1.8</v>
      </c>
      <c r="H56" s="15">
        <f t="shared" si="3"/>
        <v>0</v>
      </c>
      <c r="I56" s="236">
        <f>J56</f>
        <v>0.12</v>
      </c>
      <c r="J56" s="170">
        <f>R26</f>
        <v>0.12</v>
      </c>
      <c r="K56" s="16">
        <f t="shared" si="0"/>
        <v>0</v>
      </c>
      <c r="L56" s="224"/>
      <c r="M56" s="281"/>
      <c r="N56" s="265"/>
      <c r="O56" s="299"/>
      <c r="P56" s="300"/>
      <c r="Q56" s="315" t="s">
        <v>154</v>
      </c>
      <c r="R56" s="316"/>
      <c r="S56" s="224"/>
      <c r="T56" s="281"/>
      <c r="U56" s="201"/>
      <c r="V56" s="111" t="s">
        <v>71</v>
      </c>
      <c r="W56" s="79" t="s">
        <v>72</v>
      </c>
      <c r="X56" s="112" t="s">
        <v>73</v>
      </c>
      <c r="Y56" s="77">
        <f>F56</f>
        <v>1.8</v>
      </c>
      <c r="Z56" s="15">
        <f t="shared" si="1"/>
        <v>0</v>
      </c>
      <c r="AA56" s="171">
        <f>I56</f>
        <v>0.12</v>
      </c>
      <c r="AB56" s="16">
        <f t="shared" si="2"/>
        <v>0</v>
      </c>
      <c r="AC56" s="198"/>
    </row>
    <row r="57" spans="2:29" ht="13.5" customHeight="1" x14ac:dyDescent="0.2">
      <c r="B57" s="183"/>
      <c r="C57" s="111" t="s">
        <v>74</v>
      </c>
      <c r="D57" s="79" t="s">
        <v>75</v>
      </c>
      <c r="E57" s="112" t="s">
        <v>73</v>
      </c>
      <c r="F57" s="236">
        <f t="shared" ref="F57" si="19">G57</f>
        <v>1</v>
      </c>
      <c r="G57" s="77">
        <f>'vstupy zadavatele'!D20/1000</f>
        <v>1</v>
      </c>
      <c r="H57" s="15">
        <f t="shared" si="3"/>
        <v>0</v>
      </c>
      <c r="I57" s="236"/>
      <c r="J57" s="257"/>
      <c r="K57" s="16">
        <f t="shared" si="0"/>
        <v>0</v>
      </c>
      <c r="L57" s="224"/>
      <c r="M57" s="281"/>
      <c r="N57" s="265"/>
      <c r="O57" s="301"/>
      <c r="P57" s="302"/>
      <c r="Q57" s="315" t="s">
        <v>155</v>
      </c>
      <c r="R57" s="316"/>
      <c r="S57" s="224"/>
      <c r="T57" s="281"/>
      <c r="U57" s="201"/>
      <c r="V57" s="111" t="s">
        <v>74</v>
      </c>
      <c r="W57" s="79" t="s">
        <v>75</v>
      </c>
      <c r="X57" s="112" t="s">
        <v>73</v>
      </c>
      <c r="Y57" s="77">
        <f>F57</f>
        <v>1</v>
      </c>
      <c r="Z57" s="15">
        <f t="shared" si="1"/>
        <v>0</v>
      </c>
      <c r="AA57" s="77">
        <f>I57</f>
        <v>0</v>
      </c>
      <c r="AB57" s="16">
        <f t="shared" si="2"/>
        <v>0</v>
      </c>
      <c r="AC57" s="198"/>
    </row>
    <row r="58" spans="2:29" ht="13.5" customHeight="1" x14ac:dyDescent="0.2">
      <c r="B58" s="183"/>
      <c r="C58" s="111" t="s">
        <v>76</v>
      </c>
      <c r="D58" s="79" t="s">
        <v>77</v>
      </c>
      <c r="E58" s="112" t="s">
        <v>73</v>
      </c>
      <c r="F58" s="239"/>
      <c r="G58" s="79"/>
      <c r="H58" s="15">
        <f t="shared" si="3"/>
        <v>0</v>
      </c>
      <c r="I58" s="236"/>
      <c r="J58" s="77"/>
      <c r="K58" s="16">
        <f t="shared" si="0"/>
        <v>0</v>
      </c>
      <c r="L58" s="221"/>
      <c r="M58" s="282"/>
      <c r="N58" s="252"/>
      <c r="O58" s="315" t="s">
        <v>186</v>
      </c>
      <c r="P58" s="316"/>
      <c r="Q58" s="315" t="s">
        <v>134</v>
      </c>
      <c r="R58" s="316"/>
      <c r="S58" s="221"/>
      <c r="T58" s="282"/>
      <c r="U58" s="201"/>
      <c r="V58" s="111" t="s">
        <v>76</v>
      </c>
      <c r="W58" s="79" t="s">
        <v>77</v>
      </c>
      <c r="X58" s="112" t="s">
        <v>73</v>
      </c>
      <c r="Y58" s="79"/>
      <c r="Z58" s="15">
        <f t="shared" si="1"/>
        <v>0</v>
      </c>
      <c r="AA58" s="77"/>
      <c r="AB58" s="16">
        <f t="shared" si="2"/>
        <v>0</v>
      </c>
      <c r="AC58" s="198"/>
    </row>
    <row r="59" spans="2:29" ht="13.5" customHeight="1" x14ac:dyDescent="0.2">
      <c r="B59" s="183"/>
      <c r="C59" s="111" t="s">
        <v>78</v>
      </c>
      <c r="D59" s="79" t="s">
        <v>75</v>
      </c>
      <c r="E59" s="112" t="s">
        <v>73</v>
      </c>
      <c r="F59" s="239"/>
      <c r="G59" s="79"/>
      <c r="H59" s="15">
        <f t="shared" si="3"/>
        <v>0</v>
      </c>
      <c r="I59" s="236"/>
      <c r="J59" s="77"/>
      <c r="K59" s="16">
        <f t="shared" si="0"/>
        <v>0</v>
      </c>
      <c r="L59" s="221"/>
      <c r="M59" s="162"/>
      <c r="N59" s="252"/>
      <c r="O59" s="311" t="s">
        <v>188</v>
      </c>
      <c r="P59" s="312"/>
      <c r="Q59" s="315" t="s">
        <v>135</v>
      </c>
      <c r="R59" s="316"/>
      <c r="S59" s="221"/>
      <c r="T59" s="162"/>
      <c r="U59" s="201"/>
      <c r="V59" s="111" t="s">
        <v>78</v>
      </c>
      <c r="W59" s="79" t="s">
        <v>75</v>
      </c>
      <c r="X59" s="112" t="s">
        <v>73</v>
      </c>
      <c r="Y59" s="79"/>
      <c r="Z59" s="15">
        <f t="shared" si="1"/>
        <v>0</v>
      </c>
      <c r="AA59" s="77"/>
      <c r="AB59" s="16">
        <f t="shared" si="2"/>
        <v>0</v>
      </c>
      <c r="AC59" s="198"/>
    </row>
    <row r="60" spans="2:29" ht="13.5" customHeight="1" x14ac:dyDescent="0.2">
      <c r="B60" s="183"/>
      <c r="C60" s="111" t="s">
        <v>79</v>
      </c>
      <c r="D60" s="79" t="s">
        <v>80</v>
      </c>
      <c r="E60" s="112" t="s">
        <v>73</v>
      </c>
      <c r="F60" s="239"/>
      <c r="G60" s="79"/>
      <c r="H60" s="15">
        <f t="shared" si="3"/>
        <v>0</v>
      </c>
      <c r="I60" s="236"/>
      <c r="J60" s="77"/>
      <c r="K60" s="16">
        <f t="shared" si="0"/>
        <v>0</v>
      </c>
      <c r="L60" s="221"/>
      <c r="M60" s="285"/>
      <c r="N60" s="252"/>
      <c r="O60" s="313"/>
      <c r="P60" s="314"/>
      <c r="Q60" s="315" t="s">
        <v>136</v>
      </c>
      <c r="R60" s="316"/>
      <c r="S60" s="221"/>
      <c r="T60" s="285"/>
      <c r="U60" s="201"/>
      <c r="V60" s="111" t="s">
        <v>79</v>
      </c>
      <c r="W60" s="79" t="s">
        <v>80</v>
      </c>
      <c r="X60" s="112" t="s">
        <v>73</v>
      </c>
      <c r="Y60" s="79"/>
      <c r="Z60" s="15">
        <f t="shared" si="1"/>
        <v>0</v>
      </c>
      <c r="AA60" s="77"/>
      <c r="AB60" s="16">
        <f t="shared" si="2"/>
        <v>0</v>
      </c>
      <c r="AC60" s="198"/>
    </row>
    <row r="61" spans="2:29" ht="13.5" customHeight="1" x14ac:dyDescent="0.2">
      <c r="B61" s="183"/>
      <c r="C61" s="111" t="s">
        <v>81</v>
      </c>
      <c r="D61" s="79" t="s">
        <v>82</v>
      </c>
      <c r="E61" s="112" t="s">
        <v>73</v>
      </c>
      <c r="F61" s="239"/>
      <c r="G61" s="79"/>
      <c r="H61" s="15">
        <f t="shared" si="3"/>
        <v>0</v>
      </c>
      <c r="I61" s="236"/>
      <c r="J61" s="77"/>
      <c r="K61" s="16">
        <f t="shared" si="0"/>
        <v>0</v>
      </c>
      <c r="L61" s="221"/>
      <c r="M61" s="286"/>
      <c r="N61" s="252"/>
      <c r="O61" s="315" t="s">
        <v>187</v>
      </c>
      <c r="P61" s="316"/>
      <c r="Q61" s="315" t="s">
        <v>156</v>
      </c>
      <c r="R61" s="316"/>
      <c r="S61" s="221"/>
      <c r="T61" s="286"/>
      <c r="U61" s="201"/>
      <c r="V61" s="111" t="s">
        <v>81</v>
      </c>
      <c r="W61" s="79" t="s">
        <v>82</v>
      </c>
      <c r="X61" s="112" t="s">
        <v>73</v>
      </c>
      <c r="Y61" s="79"/>
      <c r="Z61" s="15">
        <f t="shared" si="1"/>
        <v>0</v>
      </c>
      <c r="AA61" s="147"/>
      <c r="AB61" s="16">
        <f t="shared" si="2"/>
        <v>0</v>
      </c>
      <c r="AC61" s="198"/>
    </row>
    <row r="62" spans="2:29" ht="13.5" customHeight="1" x14ac:dyDescent="0.2">
      <c r="B62" s="183"/>
      <c r="C62" s="111" t="s">
        <v>83</v>
      </c>
      <c r="D62" s="79" t="s">
        <v>84</v>
      </c>
      <c r="E62" s="112" t="s">
        <v>73</v>
      </c>
      <c r="F62" s="236">
        <f>G62</f>
        <v>2.3760000000000003</v>
      </c>
      <c r="G62" s="77">
        <f>P26*'nabidka dodavatele'!D23</f>
        <v>2.3760000000000003</v>
      </c>
      <c r="H62" s="15">
        <f t="shared" si="3"/>
        <v>0</v>
      </c>
      <c r="I62" s="236">
        <f>J62</f>
        <v>0.15840000000000001</v>
      </c>
      <c r="J62" s="77">
        <f>R26*'nabidka dodavatele'!D61</f>
        <v>0.15840000000000001</v>
      </c>
      <c r="K62" s="16">
        <f t="shared" si="0"/>
        <v>0</v>
      </c>
      <c r="L62" s="221"/>
      <c r="M62" s="279"/>
      <c r="N62" s="252"/>
      <c r="O62" s="315" t="s">
        <v>192</v>
      </c>
      <c r="P62" s="316"/>
      <c r="Q62" s="315" t="s">
        <v>138</v>
      </c>
      <c r="R62" s="316"/>
      <c r="S62" s="221"/>
      <c r="T62" s="279"/>
      <c r="U62" s="201"/>
      <c r="V62" s="111" t="s">
        <v>83</v>
      </c>
      <c r="W62" s="79" t="s">
        <v>84</v>
      </c>
      <c r="X62" s="112" t="s">
        <v>73</v>
      </c>
      <c r="Y62" s="77">
        <f>Y56*'nabidka dodavatele'!D23</f>
        <v>2.3760000000000003</v>
      </c>
      <c r="Z62" s="15">
        <f t="shared" si="1"/>
        <v>0</v>
      </c>
      <c r="AA62" s="77">
        <f>I62</f>
        <v>0.15840000000000001</v>
      </c>
      <c r="AB62" s="16">
        <f t="shared" si="2"/>
        <v>0</v>
      </c>
      <c r="AC62" s="198"/>
    </row>
    <row r="63" spans="2:29" ht="13.5" customHeight="1" x14ac:dyDescent="0.2">
      <c r="B63" s="183"/>
      <c r="C63" s="111" t="s">
        <v>85</v>
      </c>
      <c r="D63" s="79" t="s">
        <v>86</v>
      </c>
      <c r="E63" s="112" t="s">
        <v>73</v>
      </c>
      <c r="F63" s="236"/>
      <c r="G63" s="77"/>
      <c r="H63" s="15">
        <f t="shared" si="3"/>
        <v>0</v>
      </c>
      <c r="I63" s="236"/>
      <c r="J63" s="77"/>
      <c r="K63" s="16">
        <f t="shared" si="0"/>
        <v>0</v>
      </c>
      <c r="L63" s="221"/>
      <c r="M63" s="279"/>
      <c r="N63" s="252"/>
      <c r="O63" s="315" t="s">
        <v>185</v>
      </c>
      <c r="P63" s="316"/>
      <c r="Q63" s="315" t="s">
        <v>142</v>
      </c>
      <c r="R63" s="316"/>
      <c r="S63" s="221"/>
      <c r="T63" s="279"/>
      <c r="U63" s="201"/>
      <c r="V63" s="111" t="s">
        <v>85</v>
      </c>
      <c r="W63" s="79" t="s">
        <v>86</v>
      </c>
      <c r="X63" s="112" t="s">
        <v>73</v>
      </c>
      <c r="Y63" s="77"/>
      <c r="Z63" s="15">
        <f t="shared" si="1"/>
        <v>0</v>
      </c>
      <c r="AA63" s="77"/>
      <c r="AB63" s="16">
        <f t="shared" si="2"/>
        <v>0</v>
      </c>
      <c r="AC63" s="198"/>
    </row>
    <row r="64" spans="2:29" ht="13.5" customHeight="1" x14ac:dyDescent="0.25">
      <c r="B64" s="183"/>
      <c r="C64" s="1"/>
      <c r="D64" s="1"/>
      <c r="E64" s="1"/>
      <c r="F64" s="1"/>
      <c r="G64" s="1"/>
      <c r="H64" s="1"/>
      <c r="I64" s="1"/>
      <c r="J64" s="1"/>
      <c r="K64" s="1"/>
      <c r="L64" s="222"/>
      <c r="M64" s="279"/>
      <c r="N64" s="263"/>
      <c r="O64" s="315" t="s">
        <v>275</v>
      </c>
      <c r="P64" s="316"/>
      <c r="Q64" s="315" t="s">
        <v>274</v>
      </c>
      <c r="R64" s="316"/>
      <c r="S64" s="222"/>
      <c r="T64" s="279"/>
      <c r="U64" s="265"/>
      <c r="V64" s="1"/>
      <c r="W64" s="1"/>
      <c r="X64" s="1"/>
      <c r="Y64" s="1"/>
      <c r="Z64" s="331"/>
      <c r="AA64" s="1"/>
      <c r="AB64" s="1"/>
      <c r="AC64" s="198"/>
    </row>
    <row r="65" spans="2:29" ht="13.5" customHeight="1" x14ac:dyDescent="0.2">
      <c r="B65" s="183"/>
      <c r="C65" s="350" t="s">
        <v>229</v>
      </c>
      <c r="D65" s="350"/>
      <c r="E65" s="350"/>
      <c r="F65" s="350"/>
      <c r="G65" s="350"/>
      <c r="H65" s="350"/>
      <c r="I65" s="350"/>
      <c r="J65" s="350"/>
      <c r="K65" s="350"/>
      <c r="L65" s="226"/>
      <c r="M65" s="280"/>
      <c r="N65" s="206"/>
      <c r="O65" s="184"/>
      <c r="P65" s="184"/>
      <c r="Q65" s="184"/>
      <c r="R65" s="184"/>
      <c r="S65" s="226"/>
      <c r="T65" s="280"/>
      <c r="U65" s="201"/>
      <c r="V65" s="225"/>
      <c r="W65" s="225"/>
      <c r="X65" s="225"/>
      <c r="Y65" s="184"/>
      <c r="Z65" s="184"/>
      <c r="AA65" s="184"/>
      <c r="AB65" s="184"/>
      <c r="AC65" s="185"/>
    </row>
    <row r="66" spans="2:29" ht="13.5" customHeight="1" thickBot="1" x14ac:dyDescent="0.25">
      <c r="B66" s="183"/>
      <c r="C66" s="225"/>
      <c r="D66" s="225"/>
      <c r="E66" s="225"/>
      <c r="F66" s="225"/>
      <c r="G66" s="225"/>
      <c r="H66" s="225"/>
      <c r="I66" s="225"/>
      <c r="J66" s="225"/>
      <c r="K66" s="228" t="s">
        <v>268</v>
      </c>
      <c r="L66" s="227"/>
      <c r="M66" s="287"/>
      <c r="N66" s="266"/>
      <c r="O66" s="210"/>
      <c r="P66" s="210"/>
      <c r="Q66" s="210"/>
      <c r="R66" s="267"/>
      <c r="S66" s="268"/>
      <c r="T66" s="287"/>
      <c r="U66" s="200"/>
      <c r="V66" s="295"/>
      <c r="W66" s="295"/>
      <c r="X66" s="295"/>
      <c r="Y66" s="184"/>
      <c r="Z66" s="184"/>
      <c r="AA66" s="184"/>
      <c r="AB66" s="184"/>
      <c r="AC66" s="185"/>
    </row>
    <row r="67" spans="2:29" ht="13.5" customHeight="1" x14ac:dyDescent="0.2">
      <c r="B67" s="183"/>
      <c r="C67" s="3"/>
      <c r="D67" s="351" t="s">
        <v>90</v>
      </c>
      <c r="E67" s="352"/>
      <c r="F67" s="352">
        <v>0</v>
      </c>
      <c r="G67" s="352"/>
      <c r="H67" s="352"/>
      <c r="I67" s="352">
        <v>0</v>
      </c>
      <c r="J67" s="352"/>
      <c r="K67" s="353"/>
      <c r="L67" s="229"/>
      <c r="M67" s="287"/>
      <c r="T67" s="287"/>
      <c r="U67" s="201"/>
      <c r="V67" s="362" t="s">
        <v>228</v>
      </c>
      <c r="W67" s="363"/>
      <c r="X67" s="363"/>
      <c r="Y67" s="363"/>
      <c r="Z67" s="363"/>
      <c r="AA67" s="363"/>
      <c r="AB67" s="364"/>
      <c r="AC67" s="198"/>
    </row>
    <row r="68" spans="2:29" ht="13.5" customHeight="1" thickBot="1" x14ac:dyDescent="0.25">
      <c r="B68" s="183"/>
      <c r="C68" s="4"/>
      <c r="D68" s="5" t="s">
        <v>91</v>
      </c>
      <c r="E68" s="3" t="s">
        <v>7</v>
      </c>
      <c r="F68" s="354" t="str">
        <f>F25</f>
        <v>Voda pitná VHS</v>
      </c>
      <c r="G68" s="355"/>
      <c r="H68" s="356"/>
      <c r="I68" s="357" t="str">
        <f>I25</f>
        <v>Voda předaná</v>
      </c>
      <c r="J68" s="358"/>
      <c r="K68" s="359"/>
      <c r="L68" s="187"/>
      <c r="M68" s="288"/>
      <c r="N68" s="290"/>
      <c r="O68" s="256"/>
      <c r="P68" s="256"/>
      <c r="Q68" s="256"/>
      <c r="R68" s="256"/>
      <c r="S68" s="290"/>
      <c r="T68" s="288"/>
      <c r="U68" s="201"/>
      <c r="V68" s="309" t="s">
        <v>8</v>
      </c>
      <c r="W68" s="309" t="s">
        <v>91</v>
      </c>
      <c r="X68" s="6" t="s">
        <v>7</v>
      </c>
      <c r="Y68" s="322" t="str">
        <f>F68</f>
        <v>Voda pitná VHS</v>
      </c>
      <c r="Z68" s="323"/>
      <c r="AA68" s="324" t="str">
        <f>I68</f>
        <v>Voda předaná</v>
      </c>
      <c r="AB68" s="325"/>
      <c r="AC68" s="198"/>
    </row>
    <row r="69" spans="2:29" ht="13.5" customHeight="1" x14ac:dyDescent="0.2">
      <c r="B69" s="183"/>
      <c r="C69" s="8" t="s">
        <v>8</v>
      </c>
      <c r="D69" s="8"/>
      <c r="E69" s="7" t="s">
        <v>9</v>
      </c>
      <c r="F69" s="7" t="s">
        <v>10</v>
      </c>
      <c r="G69" s="7" t="s">
        <v>11</v>
      </c>
      <c r="H69" s="7" t="s">
        <v>12</v>
      </c>
      <c r="I69" s="7" t="s">
        <v>10</v>
      </c>
      <c r="J69" s="7" t="s">
        <v>11</v>
      </c>
      <c r="K69" s="310" t="s">
        <v>12</v>
      </c>
      <c r="L69" s="187"/>
      <c r="M69" s="287"/>
      <c r="N69" s="269"/>
      <c r="O69" s="181"/>
      <c r="P69" s="181"/>
      <c r="Q69" s="181"/>
      <c r="R69" s="181"/>
      <c r="S69" s="270"/>
      <c r="T69" s="287"/>
      <c r="U69" s="201"/>
      <c r="V69" s="310"/>
      <c r="W69" s="310"/>
      <c r="X69" s="7" t="s">
        <v>9</v>
      </c>
      <c r="Y69" s="7" t="s">
        <v>221</v>
      </c>
      <c r="Z69" s="7" t="s">
        <v>12</v>
      </c>
      <c r="AA69" s="7" t="str">
        <f>Y69</f>
        <v>Nárok</v>
      </c>
      <c r="AB69" s="310" t="s">
        <v>12</v>
      </c>
      <c r="AC69" s="198"/>
    </row>
    <row r="70" spans="2:29" ht="13.5" customHeight="1" x14ac:dyDescent="0.25">
      <c r="B70" s="183"/>
      <c r="C70" s="10" t="s">
        <v>13</v>
      </c>
      <c r="D70" s="10" t="s">
        <v>14</v>
      </c>
      <c r="E70" s="10" t="s">
        <v>15</v>
      </c>
      <c r="F70" s="10" t="s">
        <v>16</v>
      </c>
      <c r="G70" s="10" t="s">
        <v>17</v>
      </c>
      <c r="H70" s="10" t="s">
        <v>18</v>
      </c>
      <c r="I70" s="10" t="s">
        <v>19</v>
      </c>
      <c r="J70" s="10" t="s">
        <v>20</v>
      </c>
      <c r="K70" s="11" t="s">
        <v>21</v>
      </c>
      <c r="L70" s="187"/>
      <c r="M70" s="287"/>
      <c r="N70" s="194"/>
      <c r="O70" s="349" t="s">
        <v>249</v>
      </c>
      <c r="P70" s="349"/>
      <c r="Q70" s="349"/>
      <c r="R70" s="349"/>
      <c r="S70" s="187"/>
      <c r="T70" s="287"/>
      <c r="U70" s="201"/>
      <c r="V70" s="10" t="s">
        <v>13</v>
      </c>
      <c r="W70" s="10" t="s">
        <v>14</v>
      </c>
      <c r="X70" s="10" t="s">
        <v>15</v>
      </c>
      <c r="Y70" s="10" t="s">
        <v>217</v>
      </c>
      <c r="Z70" s="10" t="s">
        <v>218</v>
      </c>
      <c r="AA70" s="10" t="s">
        <v>222</v>
      </c>
      <c r="AB70" s="11" t="s">
        <v>222</v>
      </c>
      <c r="AC70" s="198"/>
    </row>
    <row r="71" spans="2:29" ht="13.5" customHeight="1" x14ac:dyDescent="0.2">
      <c r="B71" s="183"/>
      <c r="C71" s="328" t="s">
        <v>94</v>
      </c>
      <c r="D71" s="259" t="s">
        <v>88</v>
      </c>
      <c r="E71" s="329" t="s">
        <v>89</v>
      </c>
      <c r="F71" s="330">
        <f>IF(F56=0,0,F52/F56)</f>
        <v>30.059217777777782</v>
      </c>
      <c r="G71" s="330">
        <f>IF(G56=0,0,G52/G56)</f>
        <v>30.059217777777782</v>
      </c>
      <c r="H71" s="18">
        <f>F71-G71</f>
        <v>0</v>
      </c>
      <c r="I71" s="330">
        <f t="shared" ref="I71:J71" si="20">IF(I56=0,0,I52/I56)</f>
        <v>15.332018809302324</v>
      </c>
      <c r="J71" s="330">
        <f t="shared" si="20"/>
        <v>15.332018809302324</v>
      </c>
      <c r="K71" s="327">
        <f>I71-J71</f>
        <v>0</v>
      </c>
      <c r="L71" s="220"/>
      <c r="M71" s="287"/>
      <c r="N71" s="251"/>
      <c r="O71" s="173"/>
      <c r="P71" s="173"/>
      <c r="Q71" s="173"/>
      <c r="R71" s="173"/>
      <c r="S71" s="220"/>
      <c r="T71" s="287"/>
      <c r="U71" s="200"/>
      <c r="V71" s="328" t="s">
        <v>87</v>
      </c>
      <c r="W71" s="259" t="s">
        <v>88</v>
      </c>
      <c r="X71" s="329" t="s">
        <v>89</v>
      </c>
      <c r="Y71" s="330">
        <f>IF(Y56=0,0,Y52/Y56)</f>
        <v>30.059217777777782</v>
      </c>
      <c r="Z71" s="22">
        <f t="shared" ref="Z71:Z79" si="21">F71-Y71</f>
        <v>0</v>
      </c>
      <c r="AA71" s="330">
        <f>IF(AA56=0,0,AA52/AA56)</f>
        <v>15.332018809302321</v>
      </c>
      <c r="AB71" s="19">
        <f t="shared" ref="AB71:AB79" si="22">I71-AA71</f>
        <v>0</v>
      </c>
      <c r="AC71" s="198"/>
    </row>
    <row r="72" spans="2:29" ht="13.5" customHeight="1" x14ac:dyDescent="0.2">
      <c r="B72" s="183"/>
      <c r="C72" s="70" t="s">
        <v>101</v>
      </c>
      <c r="D72" s="20" t="s">
        <v>93</v>
      </c>
      <c r="E72" s="71" t="s">
        <v>24</v>
      </c>
      <c r="F72" s="21">
        <f>F52</f>
        <v>54.106592000000006</v>
      </c>
      <c r="G72" s="21">
        <f>G52</f>
        <v>54.106592000000006</v>
      </c>
      <c r="H72" s="21">
        <f>F72-G72</f>
        <v>0</v>
      </c>
      <c r="I72" s="21">
        <f>I52</f>
        <v>1.8398422571162789</v>
      </c>
      <c r="J72" s="21">
        <f>J52</f>
        <v>1.8398422571162789</v>
      </c>
      <c r="K72" s="72">
        <f>I72-J72</f>
        <v>0</v>
      </c>
      <c r="L72" s="230"/>
      <c r="M72" s="282"/>
      <c r="N72" s="271"/>
      <c r="O72" s="275"/>
      <c r="P72" s="175"/>
      <c r="Q72" s="175"/>
      <c r="R72" s="175"/>
      <c r="S72" s="230"/>
      <c r="T72" s="282"/>
      <c r="U72" s="201"/>
      <c r="V72" s="70" t="s">
        <v>92</v>
      </c>
      <c r="W72" s="20" t="s">
        <v>93</v>
      </c>
      <c r="X72" s="71" t="s">
        <v>24</v>
      </c>
      <c r="Y72" s="21">
        <f>Y52</f>
        <v>54.106592000000006</v>
      </c>
      <c r="Z72" s="15">
        <f t="shared" si="21"/>
        <v>0</v>
      </c>
      <c r="AA72" s="21">
        <f>AA52</f>
        <v>1.8398422571162785</v>
      </c>
      <c r="AB72" s="16">
        <f t="shared" si="22"/>
        <v>0</v>
      </c>
      <c r="AC72" s="198"/>
    </row>
    <row r="73" spans="2:29" ht="13.5" customHeight="1" x14ac:dyDescent="0.2">
      <c r="B73" s="183"/>
      <c r="C73" s="111" t="s">
        <v>103</v>
      </c>
      <c r="D73" s="79" t="s">
        <v>95</v>
      </c>
      <c r="E73" s="112" t="s">
        <v>24</v>
      </c>
      <c r="F73" s="77">
        <v>4.7000000000000028</v>
      </c>
      <c r="G73" s="77">
        <f>'nabidka dodavatele'!D38/1000*R36</f>
        <v>4.7</v>
      </c>
      <c r="H73" s="21">
        <f t="shared" ref="H73:H79" si="23">F73-G73</f>
        <v>0</v>
      </c>
      <c r="I73" s="77">
        <v>0.1559999999999995</v>
      </c>
      <c r="J73" s="77">
        <f>'nabidka dodavatele'!D64/1000*R36</f>
        <v>0.156</v>
      </c>
      <c r="K73" s="72">
        <f t="shared" ref="K73:K79" si="24">I73-J73</f>
        <v>-4.9960036108132044E-16</v>
      </c>
      <c r="L73" s="230"/>
      <c r="M73" s="282"/>
      <c r="N73" s="271"/>
      <c r="O73" s="175"/>
      <c r="P73" s="175"/>
      <c r="Q73" s="175"/>
      <c r="R73" s="175"/>
      <c r="S73" s="230"/>
      <c r="T73" s="282"/>
      <c r="U73" s="201"/>
      <c r="V73" s="111" t="s">
        <v>94</v>
      </c>
      <c r="W73" s="79" t="s">
        <v>95</v>
      </c>
      <c r="X73" s="112" t="s">
        <v>24</v>
      </c>
      <c r="Y73" s="77">
        <f>G73</f>
        <v>4.7</v>
      </c>
      <c r="Z73" s="15">
        <f t="shared" si="21"/>
        <v>0</v>
      </c>
      <c r="AA73" s="77">
        <f>J73</f>
        <v>0.156</v>
      </c>
      <c r="AB73" s="16">
        <f t="shared" si="22"/>
        <v>-4.9960036108132044E-16</v>
      </c>
      <c r="AC73" s="198"/>
    </row>
    <row r="74" spans="2:29" ht="13.5" customHeight="1" x14ac:dyDescent="0.2">
      <c r="B74" s="183"/>
      <c r="C74" s="111" t="s">
        <v>104</v>
      </c>
      <c r="D74" s="79" t="s">
        <v>97</v>
      </c>
      <c r="E74" s="112" t="s">
        <v>98</v>
      </c>
      <c r="F74" s="148">
        <f>IF(F72=0,0,F73/F72*100)</f>
        <v>8.6865570834696122</v>
      </c>
      <c r="G74" s="148">
        <f>IF(G72=0,0,G73/G72*100)</f>
        <v>8.6865570834696069</v>
      </c>
      <c r="H74" s="149">
        <f t="shared" si="23"/>
        <v>0</v>
      </c>
      <c r="I74" s="148">
        <f>IF(I72=0,0,I73/I72*100)</f>
        <v>8.4789877717294022</v>
      </c>
      <c r="J74" s="148">
        <f>IF(J72=0,0,J73/J72*100)</f>
        <v>8.4789877717294271</v>
      </c>
      <c r="K74" s="150">
        <f t="shared" si="24"/>
        <v>-2.4868995751603507E-14</v>
      </c>
      <c r="L74" s="231"/>
      <c r="M74" s="162"/>
      <c r="N74" s="272"/>
      <c r="O74" s="176"/>
      <c r="P74" s="176"/>
      <c r="Q74" s="176"/>
      <c r="R74" s="176"/>
      <c r="S74" s="231"/>
      <c r="T74" s="162"/>
      <c r="U74" s="201"/>
      <c r="V74" s="111" t="s">
        <v>96</v>
      </c>
      <c r="W74" s="79" t="s">
        <v>97</v>
      </c>
      <c r="X74" s="112" t="s">
        <v>98</v>
      </c>
      <c r="Y74" s="78">
        <f>IF(Y72=0,0,Y73/Y72*100)</f>
        <v>8.6865570834696069</v>
      </c>
      <c r="Z74" s="22">
        <f t="shared" si="21"/>
        <v>0</v>
      </c>
      <c r="AA74" s="78">
        <f>IF(AA72=0,0,AA73/AA72*100)</f>
        <v>8.4789877717294306</v>
      </c>
      <c r="AB74" s="19">
        <f t="shared" si="22"/>
        <v>-2.8421709430404007E-14</v>
      </c>
      <c r="AC74" s="198"/>
    </row>
    <row r="75" spans="2:29" ht="13.5" customHeight="1" x14ac:dyDescent="0.2">
      <c r="B75" s="183"/>
      <c r="C75" s="111" t="s">
        <v>105</v>
      </c>
      <c r="D75" s="79" t="s">
        <v>100</v>
      </c>
      <c r="E75" s="112" t="s">
        <v>24</v>
      </c>
      <c r="F75" s="77"/>
      <c r="G75" s="77"/>
      <c r="H75" s="21">
        <f t="shared" si="23"/>
        <v>0</v>
      </c>
      <c r="I75" s="77"/>
      <c r="J75" s="77"/>
      <c r="K75" s="72">
        <f t="shared" si="24"/>
        <v>0</v>
      </c>
      <c r="L75" s="230"/>
      <c r="M75" s="162"/>
      <c r="N75" s="271"/>
      <c r="O75" s="175"/>
      <c r="P75" s="175"/>
      <c r="Q75" s="175"/>
      <c r="R75" s="175"/>
      <c r="S75" s="230"/>
      <c r="T75" s="162"/>
      <c r="U75" s="201"/>
      <c r="V75" s="111" t="s">
        <v>99</v>
      </c>
      <c r="W75" s="79" t="s">
        <v>100</v>
      </c>
      <c r="X75" s="112" t="s">
        <v>24</v>
      </c>
      <c r="Y75" s="77"/>
      <c r="Z75" s="15">
        <f t="shared" si="21"/>
        <v>0</v>
      </c>
      <c r="AA75" s="77"/>
      <c r="AB75" s="16">
        <f t="shared" si="22"/>
        <v>0</v>
      </c>
      <c r="AC75" s="198"/>
    </row>
    <row r="76" spans="2:29" ht="13.5" customHeight="1" x14ac:dyDescent="0.2">
      <c r="B76" s="183"/>
      <c r="C76" s="70" t="s">
        <v>270</v>
      </c>
      <c r="D76" s="20" t="s">
        <v>102</v>
      </c>
      <c r="E76" s="71" t="s">
        <v>24</v>
      </c>
      <c r="F76" s="21">
        <f>F72+F73</f>
        <v>58.806592000000009</v>
      </c>
      <c r="G76" s="21">
        <f>G72+G73</f>
        <v>58.806592000000009</v>
      </c>
      <c r="H76" s="21">
        <f t="shared" si="23"/>
        <v>0</v>
      </c>
      <c r="I76" s="21">
        <f>I72+I73</f>
        <v>1.9958422571162784</v>
      </c>
      <c r="J76" s="21">
        <f>J72+J73</f>
        <v>1.9958422571162788</v>
      </c>
      <c r="K76" s="72">
        <f t="shared" si="24"/>
        <v>0</v>
      </c>
      <c r="L76" s="230"/>
      <c r="M76" s="162"/>
      <c r="N76" s="271"/>
      <c r="O76" s="175"/>
      <c r="P76" s="175"/>
      <c r="Q76" s="175"/>
      <c r="R76" s="175"/>
      <c r="S76" s="230"/>
      <c r="T76" s="162"/>
      <c r="U76" s="201"/>
      <c r="V76" s="70" t="s">
        <v>101</v>
      </c>
      <c r="W76" s="20" t="s">
        <v>102</v>
      </c>
      <c r="X76" s="71" t="s">
        <v>24</v>
      </c>
      <c r="Y76" s="21">
        <f>Y72+Y73</f>
        <v>58.806592000000009</v>
      </c>
      <c r="Z76" s="15">
        <f t="shared" si="21"/>
        <v>0</v>
      </c>
      <c r="AA76" s="21">
        <f>AA72+AA73</f>
        <v>1.9958422571162784</v>
      </c>
      <c r="AB76" s="16">
        <f t="shared" si="22"/>
        <v>0</v>
      </c>
      <c r="AC76" s="198"/>
    </row>
    <row r="77" spans="2:29" ht="13.5" customHeight="1" x14ac:dyDescent="0.2">
      <c r="B77" s="183"/>
      <c r="C77" s="111" t="s">
        <v>271</v>
      </c>
      <c r="D77" s="79" t="s">
        <v>232</v>
      </c>
      <c r="E77" s="112" t="s">
        <v>73</v>
      </c>
      <c r="F77" s="77">
        <f>F56</f>
        <v>1.8</v>
      </c>
      <c r="G77" s="77">
        <f>G56</f>
        <v>1.8</v>
      </c>
      <c r="H77" s="21">
        <f t="shared" si="23"/>
        <v>0</v>
      </c>
      <c r="I77" s="77">
        <f>I56</f>
        <v>0.12</v>
      </c>
      <c r="J77" s="77">
        <f>J56</f>
        <v>0.12</v>
      </c>
      <c r="K77" s="72">
        <f t="shared" si="24"/>
        <v>0</v>
      </c>
      <c r="L77" s="230"/>
      <c r="M77" s="162"/>
      <c r="N77" s="271"/>
      <c r="O77" s="175"/>
      <c r="P77" s="175"/>
      <c r="Q77" s="175"/>
      <c r="R77" s="175"/>
      <c r="S77" s="230"/>
      <c r="T77" s="162"/>
      <c r="U77" s="201"/>
      <c r="V77" s="111" t="s">
        <v>103</v>
      </c>
      <c r="W77" s="79" t="s">
        <v>232</v>
      </c>
      <c r="X77" s="112" t="s">
        <v>73</v>
      </c>
      <c r="Y77" s="77">
        <f>Y56</f>
        <v>1.8</v>
      </c>
      <c r="Z77" s="15">
        <f t="shared" si="21"/>
        <v>0</v>
      </c>
      <c r="AA77" s="77">
        <f>AA56</f>
        <v>0.12</v>
      </c>
      <c r="AB77" s="16">
        <f t="shared" si="22"/>
        <v>0</v>
      </c>
      <c r="AC77" s="198"/>
    </row>
    <row r="78" spans="2:29" ht="13.5" customHeight="1" x14ac:dyDescent="0.2">
      <c r="B78" s="183"/>
      <c r="C78" s="115" t="s">
        <v>272</v>
      </c>
      <c r="D78" s="113" t="s">
        <v>230</v>
      </c>
      <c r="E78" s="114" t="s">
        <v>89</v>
      </c>
      <c r="F78" s="116">
        <f>F76/F77</f>
        <v>32.670328888888896</v>
      </c>
      <c r="G78" s="116">
        <f>G76/G77</f>
        <v>32.670328888888896</v>
      </c>
      <c r="H78" s="22">
        <f t="shared" si="23"/>
        <v>0</v>
      </c>
      <c r="I78" s="116">
        <f>I76/I77</f>
        <v>16.63201880930232</v>
      </c>
      <c r="J78" s="116">
        <f>J76/J77</f>
        <v>16.632018809302323</v>
      </c>
      <c r="K78" s="19">
        <f t="shared" si="24"/>
        <v>0</v>
      </c>
      <c r="L78" s="222"/>
      <c r="M78" s="289"/>
      <c r="N78" s="263"/>
      <c r="O78" s="174"/>
      <c r="P78" s="174"/>
      <c r="Q78" s="174"/>
      <c r="R78" s="174"/>
      <c r="S78" s="222"/>
      <c r="T78" s="289"/>
      <c r="U78" s="201"/>
      <c r="V78" s="115" t="s">
        <v>104</v>
      </c>
      <c r="W78" s="113" t="s">
        <v>230</v>
      </c>
      <c r="X78" s="114" t="s">
        <v>89</v>
      </c>
      <c r="Y78" s="116">
        <f>Y76/Y77</f>
        <v>32.670328888888896</v>
      </c>
      <c r="Z78" s="15">
        <f t="shared" si="21"/>
        <v>0</v>
      </c>
      <c r="AA78" s="116">
        <f>AA76/AA77</f>
        <v>16.63201880930232</v>
      </c>
      <c r="AB78" s="16">
        <f t="shared" si="22"/>
        <v>0</v>
      </c>
      <c r="AC78" s="198"/>
    </row>
    <row r="79" spans="2:29" ht="12.75" customHeight="1" x14ac:dyDescent="0.2">
      <c r="B79" s="183"/>
      <c r="C79" s="115" t="s">
        <v>273</v>
      </c>
      <c r="D79" s="113" t="s">
        <v>231</v>
      </c>
      <c r="E79" s="114" t="s">
        <v>89</v>
      </c>
      <c r="F79" s="116">
        <f>F78*(1+$R$43)</f>
        <v>37.570878222222227</v>
      </c>
      <c r="G79" s="116">
        <f>G78*(1+$R$43)</f>
        <v>37.570878222222227</v>
      </c>
      <c r="H79" s="22">
        <f t="shared" si="23"/>
        <v>0</v>
      </c>
      <c r="I79" s="116">
        <f>I78*(1+$R$43)</f>
        <v>19.126821630697666</v>
      </c>
      <c r="J79" s="116">
        <f>J78*(1+$R$43)</f>
        <v>19.12682163069767</v>
      </c>
      <c r="K79" s="19">
        <f t="shared" si="24"/>
        <v>0</v>
      </c>
      <c r="L79" s="222"/>
      <c r="M79" s="289"/>
      <c r="N79" s="263"/>
      <c r="O79" s="174"/>
      <c r="P79" s="174"/>
      <c r="Q79" s="174"/>
      <c r="R79" s="174"/>
      <c r="S79" s="222"/>
      <c r="T79" s="289"/>
      <c r="U79" s="201"/>
      <c r="V79" s="115" t="s">
        <v>105</v>
      </c>
      <c r="W79" s="113" t="s">
        <v>231</v>
      </c>
      <c r="X79" s="114" t="s">
        <v>89</v>
      </c>
      <c r="Y79" s="116">
        <f>Y78*(1+$R$43)</f>
        <v>37.570878222222227</v>
      </c>
      <c r="Z79" s="151">
        <f t="shared" si="21"/>
        <v>0</v>
      </c>
      <c r="AA79" s="116">
        <f>AA78*(1+$R$43)</f>
        <v>19.126821630697666</v>
      </c>
      <c r="AB79" s="16">
        <f t="shared" si="22"/>
        <v>0</v>
      </c>
      <c r="AC79" s="198"/>
    </row>
    <row r="80" spans="2:29" ht="13.5" customHeight="1" x14ac:dyDescent="0.2">
      <c r="B80" s="183"/>
      <c r="C80" s="225"/>
      <c r="D80" s="225"/>
      <c r="E80" s="225"/>
      <c r="F80" s="225"/>
      <c r="G80" s="225"/>
      <c r="H80" s="225"/>
      <c r="I80" s="225"/>
      <c r="J80" s="225"/>
      <c r="K80" s="225"/>
      <c r="L80" s="226"/>
      <c r="M80" s="289"/>
      <c r="N80" s="206"/>
      <c r="O80" s="202"/>
      <c r="P80" s="202"/>
      <c r="Q80" s="202"/>
      <c r="R80" s="202"/>
      <c r="S80" s="226"/>
      <c r="T80" s="289"/>
      <c r="U80" s="206"/>
      <c r="V80" s="202"/>
      <c r="W80" s="202"/>
      <c r="X80" s="202"/>
      <c r="Y80" s="152"/>
      <c r="Z80" s="152"/>
      <c r="AA80" s="152"/>
      <c r="AB80" s="152"/>
      <c r="AC80" s="198"/>
    </row>
    <row r="81" spans="2:29" ht="13.5" customHeight="1" x14ac:dyDescent="0.2">
      <c r="B81" s="183"/>
      <c r="C81" s="225"/>
      <c r="D81" s="225"/>
      <c r="E81" s="225"/>
      <c r="F81" s="225"/>
      <c r="G81" s="225"/>
      <c r="H81" s="225"/>
      <c r="I81" s="225"/>
      <c r="J81" s="225"/>
      <c r="K81" s="225"/>
      <c r="L81" s="226"/>
      <c r="M81" s="162"/>
      <c r="N81" s="206"/>
      <c r="O81" s="202"/>
      <c r="P81" s="202"/>
      <c r="Q81" s="202"/>
      <c r="R81" s="202"/>
      <c r="S81" s="226"/>
      <c r="T81" s="162"/>
      <c r="U81" s="206"/>
      <c r="V81" s="202"/>
      <c r="W81" s="202"/>
      <c r="X81" s="202"/>
      <c r="Y81" s="184"/>
      <c r="Z81" s="184"/>
      <c r="AA81" s="184"/>
      <c r="AB81" s="184"/>
      <c r="AC81" s="198"/>
    </row>
    <row r="82" spans="2:29" ht="13.5" customHeight="1" thickBot="1" x14ac:dyDescent="0.25">
      <c r="B82" s="183"/>
      <c r="C82" s="225"/>
      <c r="D82" s="225"/>
      <c r="E82" s="225"/>
      <c r="F82" s="225"/>
      <c r="G82" s="225"/>
      <c r="H82" s="225"/>
      <c r="I82" s="225"/>
      <c r="J82" s="225"/>
      <c r="K82" s="225"/>
      <c r="L82" s="226"/>
      <c r="M82" s="162"/>
      <c r="N82" s="206"/>
      <c r="O82" s="202"/>
      <c r="P82" s="202"/>
      <c r="Q82" s="202"/>
      <c r="R82" s="202"/>
      <c r="S82" s="226"/>
      <c r="T82" s="162"/>
      <c r="U82" s="206"/>
      <c r="V82" s="202"/>
      <c r="W82" s="202"/>
      <c r="X82" s="202"/>
      <c r="Y82" s="184"/>
      <c r="Z82" s="184"/>
      <c r="AA82" s="184"/>
      <c r="AB82" s="184"/>
      <c r="AC82" s="185"/>
    </row>
    <row r="83" spans="2:29" ht="13.5" customHeight="1" x14ac:dyDescent="0.25">
      <c r="B83" s="183"/>
      <c r="C83" s="225"/>
      <c r="D83" s="225"/>
      <c r="E83" s="225"/>
      <c r="F83" s="225"/>
      <c r="G83" s="225"/>
      <c r="H83" s="225"/>
      <c r="I83" s="225"/>
      <c r="J83" s="225"/>
      <c r="K83" s="225"/>
      <c r="L83" s="226"/>
      <c r="M83" s="162"/>
      <c r="N83" s="206"/>
      <c r="O83" s="202"/>
      <c r="P83" s="202"/>
      <c r="Q83" s="202"/>
      <c r="R83" s="202"/>
      <c r="S83" s="226"/>
      <c r="T83" s="162"/>
      <c r="U83" s="206"/>
      <c r="V83" s="202"/>
      <c r="W83" s="202"/>
      <c r="X83" s="202"/>
      <c r="Y83" s="368" t="s">
        <v>259</v>
      </c>
      <c r="Z83" s="369"/>
      <c r="AA83" s="369"/>
      <c r="AB83" s="370"/>
      <c r="AC83" s="185"/>
    </row>
    <row r="84" spans="2:29" ht="13.5" customHeight="1" x14ac:dyDescent="0.2">
      <c r="B84" s="183"/>
      <c r="C84" s="232" t="s">
        <v>106</v>
      </c>
      <c r="D84" s="232"/>
      <c r="E84" s="232"/>
      <c r="F84" s="232"/>
      <c r="G84" s="232"/>
      <c r="H84" s="232" t="s">
        <v>107</v>
      </c>
      <c r="I84" s="232"/>
      <c r="J84" s="232"/>
      <c r="K84" s="232"/>
      <c r="L84" s="233"/>
      <c r="N84" s="273"/>
      <c r="O84" s="274"/>
      <c r="P84" s="274"/>
      <c r="Q84" s="274"/>
      <c r="R84" s="274"/>
      <c r="S84" s="233"/>
      <c r="U84" s="206"/>
      <c r="V84" s="202"/>
      <c r="W84" s="202"/>
      <c r="X84" s="202"/>
      <c r="Y84" s="167" t="str">
        <f>F25</f>
        <v>Voda pitná VHS</v>
      </c>
      <c r="Z84" s="146" t="str">
        <f>E72</f>
        <v>mil.Kč</v>
      </c>
      <c r="AA84" s="168" t="str">
        <f>I25</f>
        <v>Voda předaná</v>
      </c>
      <c r="AB84" s="153" t="str">
        <f>Z84</f>
        <v>mil.Kč</v>
      </c>
      <c r="AC84" s="198"/>
    </row>
    <row r="85" spans="2:29" ht="13.5" customHeight="1" x14ac:dyDescent="0.2">
      <c r="B85" s="183"/>
      <c r="C85" s="232" t="s">
        <v>108</v>
      </c>
      <c r="D85" s="232"/>
      <c r="E85" s="232"/>
      <c r="F85" s="232"/>
      <c r="G85" s="232"/>
      <c r="H85" s="232" t="s">
        <v>109</v>
      </c>
      <c r="I85" s="232"/>
      <c r="J85" s="232"/>
      <c r="K85" s="232"/>
      <c r="L85" s="233"/>
      <c r="N85" s="273"/>
      <c r="O85" s="274"/>
      <c r="P85" s="274"/>
      <c r="Q85" s="274"/>
      <c r="R85" s="274"/>
      <c r="S85" s="233"/>
      <c r="U85" s="206"/>
      <c r="V85" s="202"/>
      <c r="W85" s="202"/>
      <c r="X85" s="202"/>
      <c r="Y85" s="154" t="s">
        <v>223</v>
      </c>
      <c r="Z85" s="155">
        <f>-SUM(Z28,Z33,Z36,Z41,Z45,Z46,Z47,Z48,Z50,Z51)</f>
        <v>0</v>
      </c>
      <c r="AA85" s="156" t="str">
        <f>Y85</f>
        <v>Nárok na navýšení zisku oproti kalkulaci</v>
      </c>
      <c r="AB85" s="157">
        <f>-SUM(AB28,AB33,AB36,AB41,AB45,AB46,AB47,AB48,AB50,AB51)</f>
        <v>0</v>
      </c>
      <c r="AC85" s="198"/>
    </row>
    <row r="86" spans="2:29" ht="13.5" customHeight="1" thickBot="1" x14ac:dyDescent="0.25">
      <c r="B86" s="183"/>
      <c r="C86" s="232" t="s">
        <v>110</v>
      </c>
      <c r="D86" s="232"/>
      <c r="E86" s="232"/>
      <c r="F86" s="232"/>
      <c r="G86" s="232"/>
      <c r="H86" s="232" t="s">
        <v>111</v>
      </c>
      <c r="I86" s="232"/>
      <c r="J86" s="232"/>
      <c r="K86" s="232"/>
      <c r="L86" s="233"/>
      <c r="N86" s="273"/>
      <c r="O86" s="274"/>
      <c r="P86" s="274"/>
      <c r="Q86" s="274"/>
      <c r="R86" s="274"/>
      <c r="S86" s="233"/>
      <c r="U86" s="206"/>
      <c r="V86" s="202"/>
      <c r="W86" s="202"/>
      <c r="X86" s="202"/>
      <c r="Y86" s="158" t="s">
        <v>224</v>
      </c>
      <c r="Z86" s="159">
        <f>Y42-F42</f>
        <v>0</v>
      </c>
      <c r="AA86" s="160" t="str">
        <f>Y86</f>
        <v>Doplatek nájmu</v>
      </c>
      <c r="AB86" s="161">
        <f>AA42-I42</f>
        <v>0</v>
      </c>
      <c r="AC86" s="198"/>
    </row>
    <row r="87" spans="2:29" ht="13.5" customHeight="1" x14ac:dyDescent="0.2">
      <c r="B87" s="183"/>
      <c r="C87" s="225"/>
      <c r="D87" s="225"/>
      <c r="E87" s="225"/>
      <c r="F87" s="225"/>
      <c r="G87" s="225"/>
      <c r="H87" s="225"/>
      <c r="I87" s="225"/>
      <c r="J87" s="225"/>
      <c r="K87" s="225"/>
      <c r="L87" s="226"/>
      <c r="N87" s="206"/>
      <c r="O87" s="202"/>
      <c r="P87" s="202"/>
      <c r="Q87" s="202"/>
      <c r="R87" s="202"/>
      <c r="S87" s="226"/>
      <c r="U87" s="206"/>
      <c r="V87" s="202"/>
      <c r="W87" s="202"/>
      <c r="X87" s="202"/>
      <c r="Y87" s="202"/>
      <c r="Z87" s="184"/>
      <c r="AA87" s="184"/>
      <c r="AB87" s="184"/>
      <c r="AC87" s="198"/>
    </row>
    <row r="88" spans="2:29" ht="13.5" customHeight="1" x14ac:dyDescent="0.2">
      <c r="B88" s="183"/>
      <c r="C88" s="225"/>
      <c r="D88" s="225"/>
      <c r="E88" s="225"/>
      <c r="F88" s="225"/>
      <c r="G88" s="225"/>
      <c r="H88" s="225"/>
      <c r="I88" s="225"/>
      <c r="J88" s="225"/>
      <c r="K88" s="225"/>
      <c r="L88" s="226"/>
      <c r="N88" s="206"/>
      <c r="O88" s="202"/>
      <c r="P88" s="202"/>
      <c r="Q88" s="202"/>
      <c r="R88" s="202"/>
      <c r="S88" s="226"/>
      <c r="U88" s="206"/>
      <c r="V88" s="202"/>
      <c r="W88" s="202"/>
      <c r="X88" s="202"/>
      <c r="Y88" s="202"/>
      <c r="Z88" s="184"/>
      <c r="AA88" s="184"/>
      <c r="AB88" s="184"/>
      <c r="AC88" s="198"/>
    </row>
    <row r="89" spans="2:29" ht="13.5" customHeight="1" thickBot="1" x14ac:dyDescent="0.3">
      <c r="B89" s="234"/>
      <c r="C89" s="208"/>
      <c r="D89" s="208"/>
      <c r="E89" s="208"/>
      <c r="F89" s="208"/>
      <c r="G89" s="208"/>
      <c r="H89" s="208"/>
      <c r="I89" s="208"/>
      <c r="J89" s="208"/>
      <c r="K89" s="208"/>
      <c r="L89" s="235"/>
      <c r="N89" s="207"/>
      <c r="O89" s="208"/>
      <c r="P89" s="208"/>
      <c r="Q89" s="208"/>
      <c r="R89" s="208"/>
      <c r="S89" s="235"/>
      <c r="U89" s="207"/>
      <c r="V89" s="208"/>
      <c r="W89" s="208"/>
      <c r="X89" s="208"/>
      <c r="Y89" s="208"/>
      <c r="Z89" s="209"/>
      <c r="AA89" s="210"/>
      <c r="AB89" s="210"/>
      <c r="AC89" s="211"/>
    </row>
    <row r="90" spans="2:29" ht="13.5" customHeight="1" x14ac:dyDescent="0.25">
      <c r="N90" s="162"/>
      <c r="O90" s="162"/>
      <c r="P90" s="162"/>
      <c r="Q90" s="162"/>
      <c r="R90" s="162"/>
      <c r="S90" s="162"/>
    </row>
  </sheetData>
  <protectedRanges>
    <protectedRange sqref="F29:F32 F34:F35 F37:F38 F40:F43 F45:F51 F53:F63 I53:I63 I45:I51 I40:I43 I37:I38 I34:I35 I29:I32 P9:P10 R9:R10 P26 R26 R33 R36:R41 R43 P14:P16 R14:R16 P20 R20 P30:P31 R30:R31 P22 R22 Z20 AB20 Z22 AB22" name="Oblast1"/>
  </protectedRanges>
  <mergeCells count="33">
    <mergeCell ref="Y83:AB83"/>
    <mergeCell ref="Y12:AB12"/>
    <mergeCell ref="C19:K19"/>
    <mergeCell ref="D24:K24"/>
    <mergeCell ref="Y24:AB24"/>
    <mergeCell ref="F25:H25"/>
    <mergeCell ref="I25:K25"/>
    <mergeCell ref="Y25:Z25"/>
    <mergeCell ref="AA25:AB25"/>
    <mergeCell ref="C18:K18"/>
    <mergeCell ref="O35:R35"/>
    <mergeCell ref="O12:R12"/>
    <mergeCell ref="O24:R24"/>
    <mergeCell ref="O28:R28"/>
    <mergeCell ref="O33:Q33"/>
    <mergeCell ref="V25:V26"/>
    <mergeCell ref="B3:L3"/>
    <mergeCell ref="O3:R3"/>
    <mergeCell ref="Y3:AB3"/>
    <mergeCell ref="Y7:AB7"/>
    <mergeCell ref="O7:R7"/>
    <mergeCell ref="O5:R5"/>
    <mergeCell ref="Y5:AB5"/>
    <mergeCell ref="W25:W26"/>
    <mergeCell ref="O18:R18"/>
    <mergeCell ref="Y18:AB18"/>
    <mergeCell ref="V67:AB67"/>
    <mergeCell ref="O49:R49"/>
    <mergeCell ref="O70:R70"/>
    <mergeCell ref="C65:K65"/>
    <mergeCell ref="D67:K67"/>
    <mergeCell ref="F68:H68"/>
    <mergeCell ref="I68:K68"/>
  </mergeCells>
  <conditionalFormatting sqref="AC32">
    <cfRule type="cellIs" dxfId="10" priority="19" operator="notEqual">
      <formula>"OK"</formula>
    </cfRule>
  </conditionalFormatting>
  <conditionalFormatting sqref="AC34:AC35">
    <cfRule type="cellIs" dxfId="9" priority="18" operator="notEqual">
      <formula>"OK"</formula>
    </cfRule>
  </conditionalFormatting>
  <conditionalFormatting sqref="AC37:AC38">
    <cfRule type="cellIs" dxfId="8" priority="17" operator="notEqual">
      <formula>"OK"</formula>
    </cfRule>
  </conditionalFormatting>
  <conditionalFormatting sqref="AC41">
    <cfRule type="cellIs" dxfId="7" priority="16" operator="notEqual">
      <formula>"OK"</formula>
    </cfRule>
  </conditionalFormatting>
  <conditionalFormatting sqref="AC45:AC47">
    <cfRule type="cellIs" dxfId="6" priority="15" operator="notEqual">
      <formula>"OK"</formula>
    </cfRule>
  </conditionalFormatting>
  <conditionalFormatting sqref="AC50:AC51">
    <cfRule type="cellIs" dxfId="5" priority="14" operator="notEqual">
      <formula>"OK"</formula>
    </cfRule>
  </conditionalFormatting>
  <conditionalFormatting sqref="AC73">
    <cfRule type="cellIs" dxfId="4" priority="13" operator="notEqual">
      <formula>"OK"</formula>
    </cfRule>
  </conditionalFormatting>
  <conditionalFormatting sqref="Z28:Z63 Z71 AB28:AB63 AB71">
    <cfRule type="cellIs" dxfId="3" priority="5" operator="notEqual">
      <formula>0</formula>
    </cfRule>
  </conditionalFormatting>
  <conditionalFormatting sqref="Z44">
    <cfRule type="cellIs" dxfId="2" priority="3" operator="notEqual">
      <formula>0</formula>
    </cfRule>
  </conditionalFormatting>
  <conditionalFormatting sqref="AB44">
    <cfRule type="cellIs" dxfId="1" priority="2" operator="notEqual">
      <formula>0</formula>
    </cfRule>
  </conditionalFormatting>
  <conditionalFormatting sqref="AB40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dopocti_najem">
                <anchor moveWithCells="1" sizeWithCells="1">
                  <from>
                    <xdr:col>26</xdr:col>
                    <xdr:colOff>590550</xdr:colOff>
                    <xdr:row>87</xdr:row>
                    <xdr:rowOff>28575</xdr:rowOff>
                  </from>
                  <to>
                    <xdr:col>28</xdr:col>
                    <xdr:colOff>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dopocti_zisk">
                <anchor moveWithCells="1" sizeWithCells="1">
                  <from>
                    <xdr:col>7</xdr:col>
                    <xdr:colOff>400050</xdr:colOff>
                    <xdr:row>86</xdr:row>
                    <xdr:rowOff>152400</xdr:rowOff>
                  </from>
                  <to>
                    <xdr:col>11</xdr:col>
                    <xdr:colOff>9525</xdr:colOff>
                    <xdr:row>87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info</vt:lpstr>
      <vt:lpstr>vstupy zadavatele</vt:lpstr>
      <vt:lpstr>nabidka dodavatele</vt:lpstr>
      <vt:lpstr>kalkulace</vt:lpstr>
      <vt:lpstr>info!Oblast_tisku</vt:lpstr>
      <vt:lpstr>kalkulace!Oblast_tisku</vt:lpstr>
      <vt:lpstr>'nabidka dodavatele'!Oblast_tisku</vt:lpstr>
      <vt:lpstr>'vstupy zadavatele'!Oblast_tisku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Kokrment</dc:creator>
  <cp:lastModifiedBy>uzivatel</cp:lastModifiedBy>
  <cp:lastPrinted>2018-03-16T15:46:09Z</cp:lastPrinted>
  <dcterms:created xsi:type="dcterms:W3CDTF">2011-06-16T07:34:12Z</dcterms:created>
  <dcterms:modified xsi:type="dcterms:W3CDTF">2018-09-14T10:27:07Z</dcterms:modified>
</cp:coreProperties>
</file>